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qJ4hbyavEFOpOMC1Uh7xSa6HcLfMORND6V7v4D4PnVyCVj8GOXKOl5ki0sh5leOKUbP8n1ymMXas45d+ukQxtg==" workbookSaltValue="URzelOI4PpGwqVyd9LEXJ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G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Z19" i="8"/>
  <c r="AL13" i="16"/>
  <c r="S13" i="16"/>
  <c r="P13" i="16"/>
  <c r="AN13" i="20"/>
  <c r="Z13" i="17"/>
  <c r="AN17" i="11"/>
  <c r="D17" i="6"/>
  <c r="H13" i="12"/>
  <c r="T13" i="12"/>
  <c r="BF9" i="8"/>
  <c r="I19" i="8"/>
  <c r="E13" i="17"/>
  <c r="T13" i="20"/>
  <c r="T13" i="16"/>
  <c r="AP13" i="16"/>
  <c r="T18" i="17"/>
  <c r="K20" i="20"/>
  <c r="Z20" i="20"/>
  <c r="AM20" i="20"/>
  <c r="AK20" i="20"/>
  <c r="W20" i="21"/>
  <c r="F20" i="20"/>
  <c r="J20" i="20"/>
  <c r="AF20" i="20"/>
  <c r="M20" i="20"/>
  <c r="AG20" i="20"/>
  <c r="S20" i="20"/>
  <c r="AJ19" i="8" l="1"/>
  <c r="AH13" i="16"/>
  <c r="AA19" i="8"/>
  <c r="I12" i="3"/>
  <c r="E12" i="3"/>
  <c r="I10" i="3"/>
  <c r="M18" i="2"/>
  <c r="BD15" i="13"/>
  <c r="BG11" i="13"/>
  <c r="BA13" i="8"/>
  <c r="BF12" i="8"/>
  <c r="AY13" i="8"/>
  <c r="BG9" i="8"/>
  <c r="BE9" i="8"/>
  <c r="BD15" i="8"/>
  <c r="G18" i="2"/>
  <c r="AC12" i="11"/>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I10" i="7" s="1"/>
  <c r="BE11" i="8"/>
  <c r="I11" i="7" s="1"/>
  <c r="BE12" i="8"/>
  <c r="I12" i="7" s="1"/>
  <c r="AO9" i="11"/>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Y20" i="20"/>
  <c r="O10" i="11"/>
  <c r="E20" i="20"/>
  <c r="T20" i="21"/>
  <c r="AJ20" i="20"/>
  <c r="Q20" i="20"/>
  <c r="AQ20" i="21"/>
  <c r="AU20" i="20"/>
  <c r="AD20" i="20"/>
  <c r="G18" i="14"/>
  <c r="AL20" i="20"/>
  <c r="AI20" i="20"/>
  <c r="U16" i="11"/>
  <c r="AV20" i="20"/>
  <c r="U12" i="11"/>
  <c r="U10" i="11"/>
  <c r="AA20" i="20"/>
  <c r="I12" i="12" l="1"/>
  <c r="AM15" i="11"/>
  <c r="L11" i="2"/>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P16" i="11" s="1"/>
  <c r="S17" i="16"/>
  <c r="BL12" i="11"/>
  <c r="X11" i="17"/>
  <c r="BK15" i="11"/>
  <c r="S9" i="17"/>
  <c r="AP10" i="21"/>
  <c r="BM12" i="11"/>
  <c r="BH9" i="11"/>
  <c r="V9" i="11"/>
  <c r="BJ11" i="11"/>
  <c r="R10" i="21"/>
  <c r="BI17" i="11"/>
  <c r="BG9" i="11"/>
  <c r="BL11" i="11"/>
  <c r="BH17" i="11"/>
  <c r="BM15" i="11"/>
  <c r="Q15" i="11" s="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S15" i="16"/>
  <c r="S18" i="16" s="1"/>
  <c r="BF12" i="11"/>
  <c r="BL10" i="11"/>
  <c r="BK16" i="11"/>
  <c r="BG16" i="11"/>
  <c r="BM9" i="11"/>
  <c r="BK10" i="11"/>
  <c r="L17" i="2"/>
  <c r="U9" i="17"/>
  <c r="U19" i="17" s="1"/>
  <c r="L9" i="2"/>
  <c r="AA9" i="16"/>
  <c r="AP16" i="20"/>
  <c r="V15" i="11"/>
  <c r="BH15" i="11"/>
  <c r="BH18" i="11" s="1"/>
  <c r="Q17" i="20"/>
  <c r="Q18" i="20" s="1"/>
  <c r="BK12" i="11"/>
  <c r="BK9" i="11"/>
  <c r="V11" i="11"/>
  <c r="Q10" i="21"/>
  <c r="BI15" i="11"/>
  <c r="BJ12" i="11"/>
  <c r="BG15" i="11"/>
  <c r="BK17" i="11"/>
  <c r="T15" i="16"/>
  <c r="BW9" i="20"/>
  <c r="BV16" i="16"/>
  <c r="BV18" i="16" s="1"/>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BF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D19" i="12"/>
  <c r="I17" i="12"/>
  <c r="AY19" i="8"/>
  <c r="P9"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N20" i="20"/>
  <c r="AV20" i="21"/>
  <c r="AB20" i="20"/>
  <c r="O20" i="20"/>
  <c r="H20" i="20"/>
  <c r="O16" i="11"/>
  <c r="H20" i="17"/>
  <c r="U17" i="11"/>
  <c r="X20" i="20"/>
  <c r="AW20" i="11"/>
  <c r="P12" i="11" l="1"/>
  <c r="BK18" i="11"/>
  <c r="G19" i="20"/>
  <c r="S13" i="14"/>
  <c r="BH13" i="11"/>
  <c r="X13" i="16"/>
  <c r="V19" i="20"/>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K20" i="12"/>
  <c r="S20" i="17"/>
  <c r="AG20" i="17"/>
  <c r="AZ20" i="11"/>
  <c r="AJ20" i="16"/>
  <c r="AE20" i="16"/>
  <c r="M20" i="16"/>
  <c r="AR20" i="20"/>
  <c r="U20" i="20"/>
  <c r="AP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W20" i="17"/>
  <c r="R20" i="17"/>
  <c r="AB20" i="17"/>
  <c r="W20" i="16"/>
  <c r="AO20" i="11"/>
  <c r="F20" i="11"/>
  <c r="V20" i="11"/>
  <c r="AO20" i="17"/>
  <c r="AU20" i="11"/>
  <c r="V20" i="20"/>
  <c r="BO20" i="16"/>
  <c r="AV20" i="17"/>
  <c r="N20" i="17"/>
  <c r="BC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<sst xmlns="http://schemas.openxmlformats.org/spreadsheetml/2006/main" count="2094" uniqueCount="914">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</sst>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QjAMjOZjGFQt6oFCurbYCAgeD9sUnAGEnDb7vhazbADpADhhX5/VYlwiI3Iv1HIOU7yp4k7uMPCTaF8jGn18g==" saltValue="oqsjOQj/EGRtOxDOUUB+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277</v>
      </c>
      <c r="D10" s="228">
        <f>IF(ISNUMBER(Datos!I10),Datos!I10," - ")</f>
        <v>277</v>
      </c>
      <c r="E10" s="229">
        <f>IF(ISNUMBER(Datos!J10),Datos!J10," - ")</f>
        <v>194</v>
      </c>
      <c r="F10" s="229">
        <f>IF(ISNUMBER(Datos!K10),Datos!K10," - ")</f>
        <v>130</v>
      </c>
      <c r="G10" s="1037" t="str">
        <f>IF(Datos!E10&lt;&gt;"",Datos!E10,Datos!D10)</f>
        <v>37</v>
      </c>
      <c r="H10" s="230">
        <f>IF(ISNUMBER(Datos!L10),Datos!L10," - ")</f>
        <v>341</v>
      </c>
      <c r="I10" s="1047" t="str">
        <f>IF(ISNUMBER(Datos!AS10/Datos!BM10),Datos!AS10/Datos!BM10," - ")</f>
        <v xml:space="preserve"> - </v>
      </c>
      <c r="J10" s="1048">
        <f>IF(ISNUMBER(Datos!BY10/Datos!CN10),Datos!BY10/Datos!CN10," - ")</f>
        <v>0</v>
      </c>
      <c r="K10" s="233">
        <f t="shared" ref="K10:K12" si="1">IF(ISNUMBER((E10-F10)/C10),(E10-F10)/C10," - ")</f>
        <v>0.23104693140794225</v>
      </c>
      <c r="L10" s="1028">
        <f>IF(ISNUMBER(NºAsuntos!I10/NºAsuntos!G10),(NºAsuntos!I10/NºAsuntos!G10)*11," - ")</f>
        <v>28.853846153846153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23.375514275028053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277</v>
      </c>
      <c r="D13" s="1052">
        <f>SUBTOTAL(9,D9:D12)</f>
        <v>277</v>
      </c>
      <c r="E13" s="1053">
        <f>SUBTOTAL(9,E9:E12)</f>
        <v>194</v>
      </c>
      <c r="F13" s="1054">
        <f>SUBTOTAL(9,F9:F12)</f>
        <v>130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5778</v>
      </c>
      <c r="D16" s="228">
        <f>IF(ISNUMBER(IF(D_I="SI",Datos!I16,Datos!I16+Datos!AC16)),IF(D_I="SI",Datos!I16,Datos!I16+Datos!AC16)," - ")</f>
        <v>6125</v>
      </c>
      <c r="E16" s="229">
        <f>IF(ISNUMBER(IF(D_I="SI",Datos!J16,Datos!J16+Datos!AD16)),IF(D_I="SI",Datos!J16,Datos!J16+Datos!AD16)," - ")</f>
        <v>8047</v>
      </c>
      <c r="F16" s="229">
        <f>IF(ISNUMBER(IF(D_I="SI",Datos!K16,Datos!K16+Datos!AE16)),IF(D_I="SI",Datos!K16,Datos!K16+Datos!AE16)," - ")</f>
        <v>7747</v>
      </c>
      <c r="G16" s="1037" t="str">
        <f>IF(Datos!E16&lt;&gt;"",Datos!E16,Datos!D16)</f>
        <v>04</v>
      </c>
      <c r="H16" s="230">
        <f>IF(ISNUMBER(IF(D_I="SI",Datos!L16,Datos!L16+Datos!AF16)),IF(D_I="SI",Datos!L16,Datos!L16+Datos!AF16)," - ")</f>
        <v>6078</v>
      </c>
      <c r="I16" s="1047" t="str">
        <f>IF(ISNUMBER(Datos!AS16/Datos!BM16),Datos!AS16/Datos!BM16," - ")</f>
        <v xml:space="preserve"> - </v>
      </c>
      <c r="J16" s="1048">
        <f>IF(ISNUMBER(Datos!BY16/Datos!CN16),Datos!BY16/Datos!CN16," - ")</f>
        <v>0</v>
      </c>
      <c r="K16" s="233">
        <f t="shared" si="3"/>
        <v>5.1921079958463137E-2</v>
      </c>
      <c r="L16" s="1028">
        <f>IF(ISNUMBER(NºAsuntos!I16/NºAsuntos!G16),(NºAsuntos!I16/NºAsuntos!G16)*11," - ")</f>
        <v>8.6301794242932743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730</v>
      </c>
      <c r="D17" s="228">
        <f>IF(ISNUMBER(IF(D_I="SI",Datos!I17,Datos!I17+Datos!AC17)),IF(D_I="SI",Datos!I17,Datos!I17+Datos!AC17)," - ")</f>
        <v>730</v>
      </c>
      <c r="E17" s="229">
        <f>IF(ISNUMBER(IF(D_I="SI",Datos!J17,Datos!J17+Datos!AD17)),IF(D_I="SI",Datos!J17,Datos!J17+Datos!AD17)," - ")</f>
        <v>1318</v>
      </c>
      <c r="F17" s="229">
        <f>IF(ISNUMBER(IF(D_I="SI",Datos!K17,Datos!K17+Datos!AE17)),IF(D_I="SI",Datos!K17,Datos!K17+Datos!AE17)," - ")</f>
        <v>1121</v>
      </c>
      <c r="G17" s="1037" t="str">
        <f>IF(Datos!E17&lt;&gt;"",Datos!E17,Datos!D17)</f>
        <v>37</v>
      </c>
      <c r="H17" s="230">
        <f>IF(ISNUMBER(IF(D_I="SI",Datos!L17,Datos!L17+Datos!AF17)),IF(D_I="SI",Datos!L17,Datos!L17+Datos!AF17)," - ")</f>
        <v>927</v>
      </c>
      <c r="I17" s="1047" t="str">
        <f>IF(ISNUMBER(Datos!AS17/Datos!BM17),Datos!AS17/Datos!BM17," - ")</f>
        <v xml:space="preserve"> - </v>
      </c>
      <c r="J17" s="1048" t="str">
        <f>IF(ISNUMBER((Datos!BY17+Datos!BZ17)/Datos!CN17),(Datos!BY17+Datos!BZ17)/Datos!CN17," - ")</f>
        <v xml:space="preserve"> - </v>
      </c>
      <c r="K17" s="233">
        <f t="shared" si="3"/>
        <v>0.26986301369863014</v>
      </c>
      <c r="L17" s="1028">
        <f>IF(ISNUMBER(NºAsuntos!I17/NºAsuntos!G17),(NºAsuntos!I17/NºAsuntos!G17)*11," - ")</f>
        <v>9.0963425512934872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6508</v>
      </c>
      <c r="D18" s="1052">
        <f>SUBTOTAL(9,D15:D17)</f>
        <v>6855</v>
      </c>
      <c r="E18" s="1053">
        <f>SUBTOTAL(9,E15:E17)</f>
        <v>9365</v>
      </c>
      <c r="F18" s="1053">
        <f>SUBTOTAL(9,F15:F17)</f>
        <v>8868</v>
      </c>
      <c r="G18" s="1055" t="str">
        <f ca="1">INDIRECT(CONCATENATE("G",ROW()-1))</f>
        <v>37</v>
      </c>
      <c r="H18" s="1056">
        <f ca="1">SUMIF(G$14:G17,G18,H$14:H17)</f>
        <v>927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6785</v>
      </c>
      <c r="D19" s="1074">
        <f>SUBTOTAL(9,D9:D18)</f>
        <v>7132</v>
      </c>
      <c r="E19" s="1075">
        <f>SUBTOTAL(9,E9:E18)</f>
        <v>9559</v>
      </c>
      <c r="F19" s="1075">
        <f>SUBTOTAL(9,F9:F18)</f>
        <v>8998</v>
      </c>
      <c r="G19" s="1076"/>
      <c r="H19" s="1077">
        <f ca="1">SUMIF(B9:B18,"TOTAL",H9:H18)</f>
        <v>927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kM/QdrKYmzQ/l4bZ+ug+o7oPDThkq92AhUjDiaXca9eRfRQyrAJJUg1zGSOw1kKHWnJTSwe9qsV2LStVc3aDvQ==" saltValue="vudTwS/VsiuKte2+TzvdR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mdVw8Rv3Ye6T7tXfVJZwLvAX0UQd236gf7d428Sv97EUHVwern1GCBXLMd8wRwMxKGZb6wAIsboW1kUYKkylYg==" saltValue="X0LBp00N/9/v1woxo+vl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277</v>
      </c>
      <c r="J10" s="184">
        <v>194</v>
      </c>
      <c r="K10" s="184">
        <v>130</v>
      </c>
      <c r="L10" s="184">
        <v>341</v>
      </c>
      <c r="M10" s="184">
        <v>74</v>
      </c>
      <c r="N10" s="184">
        <v>31</v>
      </c>
      <c r="O10" s="184">
        <v>30</v>
      </c>
      <c r="P10" s="184">
        <v>36</v>
      </c>
      <c r="Q10" s="184">
        <v>17</v>
      </c>
      <c r="R10" s="184">
        <v>228</v>
      </c>
      <c r="S10" s="184">
        <v>258</v>
      </c>
      <c r="T10" s="184">
        <v>166</v>
      </c>
      <c r="U10" s="184">
        <v>130</v>
      </c>
      <c r="V10" s="184">
        <v>277</v>
      </c>
      <c r="W10" s="184">
        <v>59</v>
      </c>
      <c r="X10" s="191">
        <v>31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258</v>
      </c>
      <c r="AZ10" s="129">
        <f t="shared" si="0"/>
        <v>166</v>
      </c>
      <c r="BA10" s="129">
        <f t="shared" si="0"/>
        <v>130</v>
      </c>
      <c r="BB10" s="129">
        <f t="shared" si="0"/>
        <v>277</v>
      </c>
      <c r="BC10" s="125">
        <f t="shared" si="0"/>
        <v>59</v>
      </c>
      <c r="BD10" s="126">
        <f>IF(ISNUMBER(BA10/AZ10),BA10/AZ10," - ")</f>
        <v>0.7831325301204819</v>
      </c>
      <c r="BE10" s="127">
        <f>IF(ISNUMBER(BB10/BA10),BB10/BA10, " - ")</f>
        <v>2.1307692307692307</v>
      </c>
      <c r="BF10" s="127">
        <f>IF(ISNUMBER(BC10/BA10),BC10/BA10, " - ")</f>
        <v>0.45384615384615384</v>
      </c>
      <c r="BG10" s="199">
        <f>IF(ISNUMBER((AY10+AZ10)/BA10),(AY10+AZ10)/BA10," - ")</f>
        <v>3.2615384615384615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13637</v>
      </c>
      <c r="J12" s="186">
        <v>10927</v>
      </c>
      <c r="K12" s="186">
        <v>7566</v>
      </c>
      <c r="L12" s="186">
        <v>16756</v>
      </c>
      <c r="M12" s="186">
        <v>1446</v>
      </c>
      <c r="N12" s="186">
        <v>3230</v>
      </c>
      <c r="O12" s="184">
        <v>3292</v>
      </c>
      <c r="P12" s="186">
        <v>2157</v>
      </c>
      <c r="Q12" s="186">
        <v>747</v>
      </c>
      <c r="R12" s="186">
        <v>16959</v>
      </c>
      <c r="S12" s="186">
        <v>11110</v>
      </c>
      <c r="T12" s="186">
        <v>9559</v>
      </c>
      <c r="U12" s="186">
        <v>7144</v>
      </c>
      <c r="V12" s="186">
        <v>13637</v>
      </c>
      <c r="W12" s="186">
        <v>1324</v>
      </c>
      <c r="X12" s="192">
        <v>2852</v>
      </c>
      <c r="Y12" s="194">
        <v>361</v>
      </c>
      <c r="Z12" s="184">
        <v>382</v>
      </c>
      <c r="AA12" s="184">
        <v>455</v>
      </c>
      <c r="AB12" s="184">
        <v>289</v>
      </c>
      <c r="AC12" s="186">
        <v>0</v>
      </c>
      <c r="AD12" s="186">
        <v>0</v>
      </c>
      <c r="AE12" s="186">
        <v>0</v>
      </c>
      <c r="AF12" s="192">
        <v>0</v>
      </c>
      <c r="AG12" s="205">
        <v>337</v>
      </c>
      <c r="AH12" s="186">
        <v>526</v>
      </c>
      <c r="AI12" s="186">
        <v>502</v>
      </c>
      <c r="AJ12" s="206">
        <v>361</v>
      </c>
      <c r="AK12" s="185">
        <v>0</v>
      </c>
      <c r="AL12" s="186">
        <v>0</v>
      </c>
      <c r="AM12" s="186">
        <v>0</v>
      </c>
      <c r="AN12" s="192">
        <v>0</v>
      </c>
      <c r="AO12" s="262">
        <v>7</v>
      </c>
      <c r="AP12" s="158">
        <v>7</v>
      </c>
      <c r="AQ12" s="158">
        <v>7</v>
      </c>
      <c r="AR12" s="157">
        <v>7</v>
      </c>
      <c r="AS12" s="343" t="s">
        <v>803</v>
      </c>
      <c r="AT12" s="206"/>
      <c r="AU12" s="205"/>
      <c r="AV12" s="206"/>
      <c r="AW12" s="205"/>
      <c r="AX12" s="206"/>
      <c r="AY12" s="126">
        <f t="shared" si="1"/>
        <v>11447</v>
      </c>
      <c r="AZ12" s="127">
        <f t="shared" si="1"/>
        <v>10085</v>
      </c>
      <c r="BA12" s="127">
        <f t="shared" si="1"/>
        <v>7646</v>
      </c>
      <c r="BB12" s="127">
        <f t="shared" si="1"/>
        <v>13998</v>
      </c>
      <c r="BC12" s="125">
        <f>IF(ISNUMBER(X12),X12," - ")</f>
        <v>2852</v>
      </c>
      <c r="BD12" s="126">
        <f t="shared" si="2"/>
        <v>0.75815567674764506</v>
      </c>
      <c r="BE12" s="127">
        <f t="shared" si="3"/>
        <v>1.8307611823175516</v>
      </c>
      <c r="BF12" s="127">
        <f t="shared" si="4"/>
        <v>0.37300549306827097</v>
      </c>
      <c r="BG12" s="199">
        <f t="shared" si="5"/>
        <v>2.8161130002615749</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13914</v>
      </c>
      <c r="J13" s="187">
        <f t="shared" si="6"/>
        <v>11121</v>
      </c>
      <c r="K13" s="187">
        <f t="shared" si="6"/>
        <v>7696</v>
      </c>
      <c r="L13" s="187">
        <f t="shared" si="6"/>
        <v>17097</v>
      </c>
      <c r="M13" s="187">
        <f t="shared" si="6"/>
        <v>1520</v>
      </c>
      <c r="N13" s="187">
        <f t="shared" si="6"/>
        <v>3261</v>
      </c>
      <c r="O13" s="187">
        <f t="shared" si="6"/>
        <v>3322</v>
      </c>
      <c r="P13" s="187">
        <f t="shared" si="6"/>
        <v>2193</v>
      </c>
      <c r="Q13" s="187">
        <f t="shared" si="6"/>
        <v>764</v>
      </c>
      <c r="R13" s="187">
        <f t="shared" si="6"/>
        <v>17187</v>
      </c>
      <c r="S13" s="187">
        <f t="shared" si="6"/>
        <v>11368</v>
      </c>
      <c r="T13" s="187">
        <f t="shared" si="6"/>
        <v>9725</v>
      </c>
      <c r="U13" s="187">
        <f t="shared" si="6"/>
        <v>7274</v>
      </c>
      <c r="V13" s="187">
        <f t="shared" si="6"/>
        <v>13914</v>
      </c>
      <c r="W13" s="187">
        <f t="shared" si="6"/>
        <v>1383</v>
      </c>
      <c r="X13" s="187">
        <f t="shared" si="6"/>
        <v>2883</v>
      </c>
      <c r="Y13" s="187">
        <f t="shared" si="6"/>
        <v>361</v>
      </c>
      <c r="Z13" s="187">
        <f t="shared" si="6"/>
        <v>382</v>
      </c>
      <c r="AA13" s="187">
        <f t="shared" si="6"/>
        <v>455</v>
      </c>
      <c r="AB13" s="187">
        <f t="shared" si="6"/>
        <v>289</v>
      </c>
      <c r="AC13" s="187">
        <f t="shared" si="6"/>
        <v>0</v>
      </c>
      <c r="AD13" s="187">
        <f t="shared" si="6"/>
        <v>0</v>
      </c>
      <c r="AE13" s="187">
        <f t="shared" si="6"/>
        <v>0</v>
      </c>
      <c r="AF13" s="187">
        <f>SUBTOTAL(9,AF9:AF12)</f>
        <v>0</v>
      </c>
      <c r="AG13" s="187">
        <f t="shared" ref="AG13:AT13" si="7">SUBTOTAL(9,AG8:AG12)</f>
        <v>337</v>
      </c>
      <c r="AH13" s="187">
        <f t="shared" si="7"/>
        <v>526</v>
      </c>
      <c r="AI13" s="187">
        <f t="shared" si="7"/>
        <v>502</v>
      </c>
      <c r="AJ13" s="187">
        <f t="shared" si="7"/>
        <v>361</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11705</v>
      </c>
      <c r="AZ13" s="187">
        <f>SUBTOTAL(9,AZ8:AZ12)</f>
        <v>10251</v>
      </c>
      <c r="BA13" s="187">
        <f>SUBTOTAL(9,BA8:BA12)</f>
        <v>7776</v>
      </c>
      <c r="BB13" s="187">
        <f>SUBTOTAL(9,BB8:BB12)</f>
        <v>14275</v>
      </c>
      <c r="BC13" s="187">
        <f>SUBTOTAL(9,BC8:BC12)</f>
        <v>2911</v>
      </c>
      <c r="BD13" s="208">
        <f>IF(ISNUMBER(BA13/AZ13),BA13/AZ13," - ")</f>
        <v>0.75856014047410014</v>
      </c>
      <c r="BE13" s="209">
        <f>IF(ISNUMBER(BB13/BA13),BB13/BA13, " - ")</f>
        <v>1.8357767489711934</v>
      </c>
      <c r="BF13" s="209">
        <f>IF(ISNUMBER(BC13/BA13),BC13/BA13, " - ")</f>
        <v>0.37435699588477367</v>
      </c>
      <c r="BG13" s="210">
        <f>IF(ISNUMBER((AY13+AZ13)/BA13),(AY13+AZ13)/BA13," - ")</f>
        <v>2.8235596707818931</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6125</v>
      </c>
      <c r="J16" s="186">
        <v>8047</v>
      </c>
      <c r="K16" s="186">
        <v>7747</v>
      </c>
      <c r="L16" s="186">
        <v>6078</v>
      </c>
      <c r="M16" s="186">
        <v>875</v>
      </c>
      <c r="N16" s="186">
        <v>5072</v>
      </c>
      <c r="O16" s="184">
        <v>10</v>
      </c>
      <c r="P16" s="186">
        <v>189</v>
      </c>
      <c r="Q16" s="186">
        <v>57</v>
      </c>
      <c r="R16" s="186">
        <v>465</v>
      </c>
      <c r="S16" s="186">
        <v>5185</v>
      </c>
      <c r="T16" s="186">
        <v>8238</v>
      </c>
      <c r="U16" s="186">
        <v>6531</v>
      </c>
      <c r="V16" s="186">
        <v>6125</v>
      </c>
      <c r="W16" s="186">
        <v>707</v>
      </c>
      <c r="X16" s="192">
        <v>4527</v>
      </c>
      <c r="Y16" s="205">
        <v>0</v>
      </c>
      <c r="Z16" s="186">
        <v>0</v>
      </c>
      <c r="AA16" s="186">
        <v>0</v>
      </c>
      <c r="AB16" s="186">
        <v>0</v>
      </c>
      <c r="AC16" s="186">
        <v>21</v>
      </c>
      <c r="AD16" s="186">
        <v>78</v>
      </c>
      <c r="AE16" s="186">
        <v>99</v>
      </c>
      <c r="AF16" s="192">
        <v>0</v>
      </c>
      <c r="AG16" s="205">
        <v>0</v>
      </c>
      <c r="AH16" s="186">
        <v>0</v>
      </c>
      <c r="AI16" s="186">
        <v>0</v>
      </c>
      <c r="AJ16" s="206">
        <v>0</v>
      </c>
      <c r="AK16" s="185">
        <v>26</v>
      </c>
      <c r="AL16" s="186">
        <v>85</v>
      </c>
      <c r="AM16" s="186">
        <v>77</v>
      </c>
      <c r="AN16" s="192">
        <v>21</v>
      </c>
      <c r="AO16" s="262">
        <v>7</v>
      </c>
      <c r="AP16" s="158">
        <v>7</v>
      </c>
      <c r="AQ16" s="158">
        <v>7</v>
      </c>
      <c r="AR16" s="158">
        <v>7</v>
      </c>
      <c r="AS16" s="343" t="s">
        <v>487</v>
      </c>
      <c r="AT16" s="206"/>
      <c r="AU16" s="205"/>
      <c r="AV16" s="206"/>
      <c r="AW16" s="205"/>
      <c r="AX16" s="206"/>
      <c r="AY16" s="126">
        <f t="shared" si="9"/>
        <v>5185</v>
      </c>
      <c r="AZ16" s="127">
        <f t="shared" si="9"/>
        <v>8238</v>
      </c>
      <c r="BA16" s="127">
        <f t="shared" si="9"/>
        <v>6531</v>
      </c>
      <c r="BB16" s="127">
        <f t="shared" si="9"/>
        <v>6125</v>
      </c>
      <c r="BC16" s="125">
        <f>IF(ISNUMBER(W16),W16," - ")</f>
        <v>707</v>
      </c>
      <c r="BD16" s="126">
        <f t="shared" ref="BD16" si="11">IF(ISNUMBER(BA16/AZ16),BA16/AZ16," - ")</f>
        <v>0.79278951201747994</v>
      </c>
      <c r="BE16" s="127">
        <f t="shared" ref="BE16" si="12">IF(ISNUMBER(BB16/BA16),BB16/BA16, " - ")</f>
        <v>0.93783494105037513</v>
      </c>
      <c r="BF16" s="127">
        <f t="shared" ref="BF16" si="13">IF(ISNUMBER(BC16/BA16),BC16/BA16, " - ")</f>
        <v>0.1082529474812433</v>
      </c>
      <c r="BG16" s="199">
        <f t="shared" si="10"/>
        <v>2.0552748430561936</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730</v>
      </c>
      <c r="J17" s="186">
        <v>1318</v>
      </c>
      <c r="K17" s="186">
        <v>1121</v>
      </c>
      <c r="L17" s="186">
        <v>927</v>
      </c>
      <c r="M17" s="186">
        <v>116</v>
      </c>
      <c r="N17" s="186">
        <v>886</v>
      </c>
      <c r="O17" s="186">
        <v>0</v>
      </c>
      <c r="P17" s="186">
        <v>10</v>
      </c>
      <c r="Q17" s="186">
        <v>2</v>
      </c>
      <c r="R17" s="186">
        <v>12</v>
      </c>
      <c r="S17" s="186">
        <v>651</v>
      </c>
      <c r="T17" s="186">
        <v>1114</v>
      </c>
      <c r="U17" s="186">
        <v>1036</v>
      </c>
      <c r="V17" s="186">
        <v>730</v>
      </c>
      <c r="W17" s="186">
        <v>86</v>
      </c>
      <c r="X17" s="192">
        <v>864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651</v>
      </c>
      <c r="AZ17" s="129">
        <f t="shared" si="14"/>
        <v>1114</v>
      </c>
      <c r="BA17" s="129">
        <f t="shared" si="14"/>
        <v>1036</v>
      </c>
      <c r="BB17" s="129">
        <f t="shared" si="14"/>
        <v>730</v>
      </c>
      <c r="BC17" s="125">
        <f>IF(ISNUMBER(W17),W17," - ")</f>
        <v>86</v>
      </c>
      <c r="BD17" s="126">
        <f>IF(ISNUMBER(BA17/AZ17),BA17/AZ17," - ")</f>
        <v>0.9299820466786356</v>
      </c>
      <c r="BE17" s="127">
        <f>IF(ISNUMBER(BB17/BA17),BB17/BA17, " - ")</f>
        <v>0.70463320463320467</v>
      </c>
      <c r="BF17" s="127">
        <f>IF(ISNUMBER(BC17/BA17),BC17/BA17, " - ")</f>
        <v>8.3011583011583012E-2</v>
      </c>
      <c r="BG17" s="199">
        <f>IF(ISNUMBER((AY17+AZ17)/BA17),(AY17+AZ17)/BA17," - ")</f>
        <v>1.7036679536679538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6855</v>
      </c>
      <c r="J18" s="187">
        <f t="shared" si="15"/>
        <v>9365</v>
      </c>
      <c r="K18" s="187">
        <f t="shared" si="15"/>
        <v>8868</v>
      </c>
      <c r="L18" s="187">
        <f t="shared" si="15"/>
        <v>7005</v>
      </c>
      <c r="M18" s="187">
        <f t="shared" si="15"/>
        <v>991</v>
      </c>
      <c r="N18" s="187">
        <f t="shared" si="15"/>
        <v>5958</v>
      </c>
      <c r="O18" s="187">
        <f t="shared" si="15"/>
        <v>10</v>
      </c>
      <c r="P18" s="187">
        <f t="shared" si="15"/>
        <v>199</v>
      </c>
      <c r="Q18" s="187">
        <f t="shared" si="15"/>
        <v>59</v>
      </c>
      <c r="R18" s="187">
        <f t="shared" si="15"/>
        <v>477</v>
      </c>
      <c r="S18" s="187">
        <f t="shared" si="15"/>
        <v>5836</v>
      </c>
      <c r="T18" s="187">
        <f t="shared" si="15"/>
        <v>9352</v>
      </c>
      <c r="U18" s="187">
        <f t="shared" si="15"/>
        <v>7567</v>
      </c>
      <c r="V18" s="187">
        <f t="shared" si="15"/>
        <v>6855</v>
      </c>
      <c r="W18" s="187">
        <f t="shared" si="15"/>
        <v>793</v>
      </c>
      <c r="X18" s="187">
        <f t="shared" si="15"/>
        <v>5391</v>
      </c>
      <c r="Y18" s="187">
        <f t="shared" si="15"/>
        <v>0</v>
      </c>
      <c r="Z18" s="187">
        <f t="shared" si="15"/>
        <v>0</v>
      </c>
      <c r="AA18" s="187">
        <f t="shared" si="15"/>
        <v>0</v>
      </c>
      <c r="AB18" s="187">
        <f t="shared" si="15"/>
        <v>0</v>
      </c>
      <c r="AC18" s="187">
        <f t="shared" si="15"/>
        <v>21</v>
      </c>
      <c r="AD18" s="187">
        <f t="shared" si="15"/>
        <v>78</v>
      </c>
      <c r="AE18" s="187">
        <f t="shared" si="15"/>
        <v>99</v>
      </c>
      <c r="AF18" s="187">
        <f t="shared" si="15"/>
        <v>0</v>
      </c>
      <c r="AG18" s="187">
        <f t="shared" si="15"/>
        <v>0</v>
      </c>
      <c r="AH18" s="187">
        <f t="shared" si="15"/>
        <v>0</v>
      </c>
      <c r="AI18" s="187">
        <f t="shared" si="15"/>
        <v>0</v>
      </c>
      <c r="AJ18" s="187">
        <f t="shared" si="15"/>
        <v>0</v>
      </c>
      <c r="AK18" s="187">
        <f t="shared" si="15"/>
        <v>26</v>
      </c>
      <c r="AL18" s="187">
        <f t="shared" si="15"/>
        <v>85</v>
      </c>
      <c r="AM18" s="187">
        <f t="shared" si="15"/>
        <v>77</v>
      </c>
      <c r="AN18" s="187">
        <f t="shared" si="15"/>
        <v>21</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5836</v>
      </c>
      <c r="AZ18" s="187">
        <f>SUBTOTAL(9,AZ14:AZ17)</f>
        <v>9352</v>
      </c>
      <c r="BA18" s="187">
        <f>SUBTOTAL(9,BA14:BA17)</f>
        <v>7567</v>
      </c>
      <c r="BB18" s="187">
        <f>SUBTOTAL(9,BB14:BB17)</f>
        <v>6855</v>
      </c>
      <c r="BC18" s="187">
        <f>SUBTOTAL(9,BC14:BC17)</f>
        <v>793</v>
      </c>
      <c r="BD18" s="208">
        <f>IF(ISNUMBER(BA18/AZ18),BA18/AZ18," - ")</f>
        <v>0.80913173652694614</v>
      </c>
      <c r="BE18" s="209">
        <f>IF(ISNUMBER(BB18/BA18),BB18/BA18, " - ")</f>
        <v>0.90590722875644247</v>
      </c>
      <c r="BF18" s="209">
        <f>IF(ISNUMBER(BC18/BA18),BC18/BA18, " - ")</f>
        <v>0.10479714550019822</v>
      </c>
      <c r="BG18" s="210">
        <f>IF(ISNUMBER((AY18+AZ18)/BA18),(AY18+AZ18)/BA18," - ")</f>
        <v>2.0071362495044269</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20769</v>
      </c>
      <c r="J19" s="134">
        <f t="shared" si="18"/>
        <v>20486</v>
      </c>
      <c r="K19" s="134">
        <f t="shared" si="18"/>
        <v>16564</v>
      </c>
      <c r="L19" s="134">
        <f t="shared" si="18"/>
        <v>24102</v>
      </c>
      <c r="M19" s="134">
        <f t="shared" si="18"/>
        <v>2511</v>
      </c>
      <c r="N19" s="134">
        <f t="shared" si="18"/>
        <v>9219</v>
      </c>
      <c r="O19" s="134">
        <f t="shared" si="18"/>
        <v>3332</v>
      </c>
      <c r="P19" s="134">
        <f t="shared" si="18"/>
        <v>2392</v>
      </c>
      <c r="Q19" s="134">
        <f t="shared" si="18"/>
        <v>823</v>
      </c>
      <c r="R19" s="134">
        <f t="shared" si="18"/>
        <v>17664</v>
      </c>
      <c r="S19" s="134">
        <f t="shared" si="18"/>
        <v>17204</v>
      </c>
      <c r="T19" s="134">
        <f t="shared" si="18"/>
        <v>19077</v>
      </c>
      <c r="U19" s="134">
        <f t="shared" si="18"/>
        <v>14841</v>
      </c>
      <c r="V19" s="134">
        <f t="shared" si="18"/>
        <v>20769</v>
      </c>
      <c r="W19" s="134">
        <f t="shared" si="18"/>
        <v>2176</v>
      </c>
      <c r="X19" s="134">
        <f t="shared" si="18"/>
        <v>8274</v>
      </c>
      <c r="Y19" s="134">
        <f t="shared" si="18"/>
        <v>361</v>
      </c>
      <c r="Z19" s="134">
        <f t="shared" si="18"/>
        <v>382</v>
      </c>
      <c r="AA19" s="134">
        <f t="shared" si="18"/>
        <v>455</v>
      </c>
      <c r="AB19" s="134">
        <f t="shared" si="18"/>
        <v>289</v>
      </c>
      <c r="AC19" s="134">
        <f t="shared" si="18"/>
        <v>21</v>
      </c>
      <c r="AD19" s="134">
        <f t="shared" si="18"/>
        <v>78</v>
      </c>
      <c r="AE19" s="134">
        <f t="shared" si="18"/>
        <v>99</v>
      </c>
      <c r="AF19" s="134">
        <f t="shared" si="18"/>
        <v>0</v>
      </c>
      <c r="AG19" s="134">
        <f t="shared" si="18"/>
        <v>337</v>
      </c>
      <c r="AH19" s="134">
        <f t="shared" si="18"/>
        <v>526</v>
      </c>
      <c r="AI19" s="134">
        <f t="shared" si="18"/>
        <v>502</v>
      </c>
      <c r="AJ19" s="134">
        <f t="shared" si="18"/>
        <v>361</v>
      </c>
      <c r="AK19" s="134">
        <f t="shared" si="18"/>
        <v>26</v>
      </c>
      <c r="AL19" s="134">
        <f t="shared" si="18"/>
        <v>85</v>
      </c>
      <c r="AM19" s="134">
        <f t="shared" si="18"/>
        <v>77</v>
      </c>
      <c r="AN19" s="213">
        <f t="shared" si="18"/>
        <v>21</v>
      </c>
      <c r="AO19" s="214">
        <v>8</v>
      </c>
      <c r="AP19" s="214">
        <v>7</v>
      </c>
      <c r="AQ19" s="214">
        <v>7</v>
      </c>
      <c r="AR19" s="214">
        <v>7</v>
      </c>
      <c r="AS19" s="156">
        <f t="shared" si="18"/>
        <v>0</v>
      </c>
      <c r="AT19" s="156">
        <f t="shared" si="18"/>
        <v>0</v>
      </c>
      <c r="AU19" s="214"/>
      <c r="AV19" s="215"/>
      <c r="AW19" s="214"/>
      <c r="AX19" s="215"/>
      <c r="AY19" s="133">
        <f>SUBTOTAL(9,AY9:AY18)</f>
        <v>17541</v>
      </c>
      <c r="AZ19" s="134">
        <f>SUBTOTAL(9,AZ9:AZ18)</f>
        <v>19603</v>
      </c>
      <c r="BA19" s="134">
        <f>SUBTOTAL(9,BA9:BA18)</f>
        <v>15343</v>
      </c>
      <c r="BB19" s="134">
        <f>SUBTOTAL(9,BB9:BB18)</f>
        <v>21130</v>
      </c>
      <c r="BC19" s="135">
        <f>SUBTOTAL(9,BC9:BC18)</f>
        <v>3704</v>
      </c>
      <c r="BD19" s="216">
        <f>IF(ISNUMBER(BA19/AZ19),BA19/AZ19," - ")</f>
        <v>0.78268632352190992</v>
      </c>
      <c r="BE19" s="213">
        <f>IF(ISNUMBER(BB19/BA19),BB19/BA19, " - ")</f>
        <v>1.3771752590758</v>
      </c>
      <c r="BF19" s="213">
        <f>IF(ISNUMBER(BC19/BA19),BC19/BA19, " - ")</f>
        <v>0.24141302222511896</v>
      </c>
      <c r="BG19" s="135">
        <f>IF(ISNUMBER((AY19+AZ19)/BA19),(AY19+AZ19)/BA19," - ")</f>
        <v>2.4209085576484388</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bk0UzDVrLe1I3e01cO62CgCqCQCMBDZRZ//WjYZG4cXMO43lhMAvfRqC+v/bbDRXAV54YEj6RYfw5X77zMxjQ==" saltValue="CgMRsKXh660M8yXHtyZWf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PP6dwQuirkv8zfRtVNQIuysVWcAYx34qk3J5hngOby5Mm4Dd7Idq7PoKLljCpjeqNNV75zmwb466q/+s24VUA==" saltValue="GbulsrXiGYYpfnhSjdO+g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ILLESCAS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277</v>
      </c>
      <c r="G10" s="336">
        <f>IF(ISNUMBER(Datos!I10),Datos!I10," - ")</f>
        <v>277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130</v>
      </c>
      <c r="AC10" s="229">
        <f>IF(ISNUMBER(Datos!Q10),Datos!Q10," - ")</f>
        <v>17</v>
      </c>
      <c r="AD10" s="337"/>
      <c r="AE10" s="487"/>
      <c r="AF10" s="335">
        <f>IF(ISNUMBER(Datos!L10),Datos!L10,"-")</f>
        <v>341</v>
      </c>
      <c r="AG10" s="337"/>
      <c r="AH10" s="337"/>
      <c r="AI10" s="337"/>
      <c r="AJ10" s="337"/>
      <c r="AK10" s="337"/>
      <c r="AL10" s="482"/>
      <c r="AM10" s="338">
        <f>IF(ISNUMBER(Datos!R10),Datos!R10," - ")</f>
        <v>228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74</v>
      </c>
      <c r="BD10" s="232">
        <f>IF(ISNUMBER(Datos!N10),Datos!N10," - ")</f>
        <v>31</v>
      </c>
      <c r="BE10" s="232" t="str">
        <f>IF(ISNUMBER(Datos!BW10),Datos!BW10," - ")</f>
        <v xml:space="preserve"> - </v>
      </c>
      <c r="BF10" s="231" t="str">
        <f>IF(ISNUMBER(Datos!BX10),Datos!BX10," - ")</f>
        <v xml:space="preserve"> - </v>
      </c>
      <c r="BG10" s="246">
        <f>IF(ISNUMBER(Datos!K10/Datos!J10),Datos!K10/Datos!J10," - ")</f>
        <v>0.67010309278350511</v>
      </c>
      <c r="BH10" s="263">
        <f>IF(ISNUMBER(((Datos!L10/Datos!K10)*11)/factor_trimestre),((Datos!L10/Datos!K10)*11)/factor_trimestre," - ")</f>
        <v>28.853846153846153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9.0909090909090912E-2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382</v>
      </c>
      <c r="O12" s="337"/>
      <c r="P12" s="337"/>
      <c r="Q12" s="229">
        <f>IF(ISNUMBER(Datos!P12),Datos!P12,0)</f>
        <v>2157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747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289</v>
      </c>
      <c r="AI12" s="337" t="str">
        <f>IF(ISNUMBER(Datos!CD12),Datos!CD12,"-")</f>
        <v>-</v>
      </c>
      <c r="AJ12" s="337" t="str">
        <f>IF(ISNUMBER(Datos!EN12),Datos!EN12," - ")</f>
        <v xml:space="preserve"> - </v>
      </c>
      <c r="AK12" s="337"/>
      <c r="AL12" s="482"/>
      <c r="AM12" s="338">
        <f>IF(ISNUMBER(Datos!R12),Datos!R12," - ")</f>
        <v>16959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1446</v>
      </c>
      <c r="BD12" s="232">
        <f>IF(ISNUMBER(Datos!N12),Datos!N12," - ")</f>
        <v>3230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0.70925811300733932</v>
      </c>
      <c r="BH12" s="263">
        <f>IF(ISNUMBER(((IF(J_V="SI",Datos!L12/Datos!K12,(Datos!L12+Datos!AB12)/(Datos!K12+Datos!AA12)))*11)/factor_trimestre),((IF(J_V="SI",Datos!L12/Datos!K12,(Datos!L12+Datos!AB12)/(Datos!K12+Datos!AA12)))*11)/factor_trimestre," - ")</f>
        <v>23.375514275028053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9.0681072737796645E-2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277</v>
      </c>
      <c r="G13" s="901">
        <f t="shared" si="0"/>
        <v>277</v>
      </c>
      <c r="H13" s="902">
        <f t="shared" si="0"/>
        <v>0</v>
      </c>
      <c r="I13" s="901">
        <f t="shared" si="0"/>
        <v>0</v>
      </c>
      <c r="J13" s="870">
        <f t="shared" si="0"/>
        <v>0</v>
      </c>
      <c r="K13" s="870">
        <f t="shared" si="0"/>
        <v>0</v>
      </c>
      <c r="L13" s="902">
        <f t="shared" si="0"/>
        <v>0</v>
      </c>
      <c r="M13" s="902">
        <f t="shared" si="0"/>
        <v>0</v>
      </c>
      <c r="N13" s="902">
        <f t="shared" si="0"/>
        <v>382</v>
      </c>
      <c r="O13" s="903">
        <f t="shared" si="0"/>
        <v>0</v>
      </c>
      <c r="P13" s="903">
        <f t="shared" si="0"/>
        <v>0</v>
      </c>
      <c r="Q13" s="902">
        <f t="shared" si="0"/>
        <v>2193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130</v>
      </c>
      <c r="AC13" s="902">
        <f t="shared" si="1"/>
        <v>764</v>
      </c>
      <c r="AD13" s="902">
        <f t="shared" si="1"/>
        <v>0</v>
      </c>
      <c r="AE13" s="902">
        <f t="shared" si="1"/>
        <v>0</v>
      </c>
      <c r="AF13" s="902">
        <f t="shared" si="1"/>
        <v>341</v>
      </c>
      <c r="AG13" s="902">
        <f t="shared" si="1"/>
        <v>0</v>
      </c>
      <c r="AH13" s="902">
        <f t="shared" si="1"/>
        <v>289</v>
      </c>
      <c r="AI13" s="902">
        <f t="shared" si="1"/>
        <v>0</v>
      </c>
      <c r="AJ13" s="902">
        <f t="shared" si="1"/>
        <v>0</v>
      </c>
      <c r="AK13" s="902">
        <f t="shared" si="1"/>
        <v>0</v>
      </c>
      <c r="AL13" s="902">
        <f t="shared" si="1"/>
        <v>0</v>
      </c>
      <c r="AM13" s="902">
        <f t="shared" si="1"/>
        <v>17187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1520</v>
      </c>
      <c r="BD13" s="902">
        <f t="shared" si="1"/>
        <v>3261</v>
      </c>
      <c r="BE13" s="902">
        <f t="shared" si="1"/>
        <v>0</v>
      </c>
      <c r="BF13" s="902">
        <f t="shared" si="1"/>
        <v>0</v>
      </c>
      <c r="BG13" s="902">
        <f>IF(ISNUMBER(Datos!K13/Datos!J13),Datos!K13/Datos!J13," - ")</f>
        <v>0.69202409855228841</v>
      </c>
      <c r="BH13" s="906">
        <f>IF(ISNUMBER(((Datos!L13/Datos!K13)*11)/factor_trimestre),((Datos!L13/Datos!K13)*11)/factor_trimestre," - ")</f>
        <v>24.43698024948025</v>
      </c>
      <c r="BI13" s="902">
        <f>IF(ISNUMBER('Resol  Asuntos'!D13/NºAsuntos!G13),'Resol  Asuntos'!D13/NºAsuntos!G13," - ")</f>
        <v>0.18648018648018649</v>
      </c>
      <c r="BJ13" s="902" t="str">
        <f>IF(ISNUMBER(Datos!CI13/Datos!CJ13),Datos!CI13/Datos!CJ13," - ")</f>
        <v xml:space="preserve"> - </v>
      </c>
      <c r="BK13" s="902">
        <f>SUBTOTAL(9,BK8:BK12)</f>
        <v>0</v>
      </c>
      <c r="BL13" s="902">
        <f>IF(ISNUMBER((I13-AB13+L13)/(F13)),(I13-AB13+L13)/(F13)," - ")</f>
        <v>-0.46931407942238268</v>
      </c>
      <c r="BM13" s="907">
        <f>SUBTOTAL(9,BM9:BM12)</f>
        <v>0.18159016364688757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5778</v>
      </c>
      <c r="G16" s="601">
        <f>IF(ISNUMBER(IF(D_I="SI",Datos!I16,Datos!I16+Datos!AC16)),IF(D_I="SI",Datos!I16,Datos!I16+Datos!AC16)," - ")</f>
        <v>6125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189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7747</v>
      </c>
      <c r="AC16" s="229">
        <f>IF(ISNUMBER(Datos!Q16),Datos!Q16," - ")</f>
        <v>57</v>
      </c>
      <c r="AD16" s="337"/>
      <c r="AE16" s="487"/>
      <c r="AF16" s="599">
        <f>IF(ISNUMBER(IF(D_I="SI",Datos!L16,Datos!L16+Datos!AF16)),IF(D_I="SI",Datos!L16,Datos!L16+Datos!AF16)," - ")</f>
        <v>6078</v>
      </c>
      <c r="AG16" s="337"/>
      <c r="AH16" s="337"/>
      <c r="AI16" s="337"/>
      <c r="AJ16" s="337"/>
      <c r="AK16" s="337"/>
      <c r="AL16" s="482"/>
      <c r="AM16" s="338">
        <f>IF(ISNUMBER(Datos!R16),Datos!R16," - ")</f>
        <v>465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875</v>
      </c>
      <c r="BD16" s="232">
        <f>IF(ISNUMBER(Datos!N16),Datos!N16," - ")</f>
        <v>5072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0.96271902572387225</v>
      </c>
      <c r="BH16" s="263">
        <f>IF(ISNUMBER(((IF(D_I="SI",Datos!L16/Datos!K16,(Datos!L16+Datos!AF16)/(Datos!K16+Datos!AE16)))*11)/factor_trimestre),((IF(D_I="SI",Datos!L16/Datos!K16,(Datos!L16+Datos!AF16)/(Datos!K16+Datos!AE16)))*11)/factor_trimestre," - ")</f>
        <v>8.6301794242932743</v>
      </c>
      <c r="BI16" s="246">
        <f>IF(ISNUMBER('Resol  Asuntos'!D16/NºAsuntos!G16),'Resol  Asuntos'!D16/NºAsuntos!G16," - ")</f>
        <v>0.11294694720536982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730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1121</v>
      </c>
      <c r="AC17" s="229">
        <f>IF(ISNUMBER(Datos!Q17),Datos!Q17," - ")</f>
        <v>2</v>
      </c>
      <c r="AD17" s="337"/>
      <c r="AE17" s="487"/>
      <c r="AF17" s="335">
        <f>IF(ISNUMBER(Datos!L17),Datos!L17,"-")</f>
        <v>927</v>
      </c>
      <c r="AG17" s="337"/>
      <c r="AH17" s="337"/>
      <c r="AI17" s="337"/>
      <c r="AJ17" s="337"/>
      <c r="AK17" s="337"/>
      <c r="AL17" s="482"/>
      <c r="AM17" s="338">
        <f>IF(ISNUMBER(Datos!R17),Datos!R17," - ")</f>
        <v>12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116</v>
      </c>
      <c r="BD17" s="232">
        <f>IF(ISNUMBER(Datos!N17),Datos!N17," - ")</f>
        <v>886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0.85053110773899854</v>
      </c>
      <c r="BH17" s="263">
        <f>IF(ISNUMBER(((IF(D_I="SI",Datos!L17/Datos!K17,(Datos!L17+Datos!AF17)/(Datos!K17+Datos!AE17)))*11)/factor_trimestre),((IF(D_I="SI",Datos!L17/Datos!K17,(Datos!L17+Datos!AF17)/(Datos!K17+Datos!AE17)))*11)/factor_trimestre," - ")</f>
        <v>9.0963425512934872</v>
      </c>
      <c r="BI17" s="246">
        <f>IF(ISNUMBER('Resol  Asuntos'!D17/NºAsuntos!G17),'Resol  Asuntos'!D17/NºAsuntos!G17," - ")</f>
        <v>0.10347903657448707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5778</v>
      </c>
      <c r="G18" s="901">
        <f>SUBTOTAL(9,G15:G17)</f>
        <v>6855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199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8868</v>
      </c>
      <c r="AC18" s="902">
        <f t="shared" si="4"/>
        <v>59</v>
      </c>
      <c r="AD18" s="902">
        <f t="shared" si="4"/>
        <v>0</v>
      </c>
      <c r="AE18" s="902">
        <f t="shared" si="4"/>
        <v>0</v>
      </c>
      <c r="AF18" s="902">
        <f t="shared" si="4"/>
        <v>7005</v>
      </c>
      <c r="AG18" s="902">
        <f t="shared" si="4"/>
        <v>0</v>
      </c>
      <c r="AH18" s="902">
        <f t="shared" si="4"/>
        <v>0</v>
      </c>
      <c r="AI18" s="902">
        <f t="shared" si="4"/>
        <v>0</v>
      </c>
      <c r="AJ18" s="902">
        <f t="shared" si="4"/>
        <v>0</v>
      </c>
      <c r="AK18" s="902">
        <f t="shared" si="4"/>
        <v>0</v>
      </c>
      <c r="AL18" s="902">
        <f t="shared" si="4"/>
        <v>0</v>
      </c>
      <c r="AM18" s="902">
        <f t="shared" si="4"/>
        <v>477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991</v>
      </c>
      <c r="BD18" s="902">
        <f t="shared" si="4"/>
        <v>5958</v>
      </c>
      <c r="BE18" s="902">
        <f t="shared" si="4"/>
        <v>0</v>
      </c>
      <c r="BF18" s="902">
        <f t="shared" si="4"/>
        <v>0</v>
      </c>
      <c r="BG18" s="902">
        <f>IF(ISNUMBER(Datos!K18/Datos!J18),Datos!K18/Datos!J18," - ")</f>
        <v>0.94693005872931124</v>
      </c>
      <c r="BH18" s="906">
        <f>IF(ISNUMBER(((Datos!L18/Datos!K18)*11)/factor_trimestre),((Datos!L18/Datos!K18)*11)/factor_trimestre," - ")</f>
        <v>8.6891069012178619</v>
      </c>
      <c r="BI18" s="902">
        <f>SUBTOTAL(9,BI15:BI17)</f>
        <v>0.21642598377985689</v>
      </c>
      <c r="BJ18" s="902">
        <f>SUBTOTAL(9,BJ15:BJ17)</f>
        <v>0</v>
      </c>
      <c r="BK18" s="902">
        <f>SUBTOTAL(9,BK15:BK17)</f>
        <v>0</v>
      </c>
      <c r="BL18" s="902">
        <f>IF(ISNUMBER((I18-AB18+L18)/(F18)),(I18-AB18+L18)/(F18)," - ")</f>
        <v>-1.5347871235721704</v>
      </c>
      <c r="BM18" s="908">
        <f>IF(ISNUMBER((Datos!P18-Datos!Q18)/(Datos!R18-Datos!P18+Datos!Q18)),(Datos!P18-Datos!Q18)/(Datos!R18-Datos!P18+Datos!Q18)," - ")</f>
        <v>0.41543026706231456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6055</v>
      </c>
      <c r="G19" s="823">
        <f t="shared" si="6"/>
        <v>7132</v>
      </c>
      <c r="H19" s="825">
        <f t="shared" si="6"/>
        <v>0</v>
      </c>
      <c r="I19" s="823">
        <f t="shared" si="6"/>
        <v>0</v>
      </c>
      <c r="J19" s="825">
        <f t="shared" si="6"/>
        <v>0</v>
      </c>
      <c r="K19" s="825">
        <f t="shared" si="6"/>
        <v>0</v>
      </c>
      <c r="L19" s="884">
        <f t="shared" si="6"/>
        <v>0</v>
      </c>
      <c r="M19" s="884">
        <f t="shared" si="6"/>
        <v>0</v>
      </c>
      <c r="N19" s="884">
        <f t="shared" si="6"/>
        <v>382</v>
      </c>
      <c r="O19" s="884">
        <f t="shared" si="6"/>
        <v>0</v>
      </c>
      <c r="P19" s="884">
        <f t="shared" si="6"/>
        <v>0</v>
      </c>
      <c r="Q19" s="825">
        <f t="shared" si="6"/>
        <v>2392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8998</v>
      </c>
      <c r="AC19" s="824">
        <f t="shared" si="7"/>
        <v>823</v>
      </c>
      <c r="AD19" s="824">
        <f t="shared" si="7"/>
        <v>0</v>
      </c>
      <c r="AE19" s="824">
        <f t="shared" si="7"/>
        <v>0</v>
      </c>
      <c r="AF19" s="831">
        <f t="shared" si="7"/>
        <v>7346</v>
      </c>
      <c r="AG19" s="831">
        <f t="shared" si="7"/>
        <v>0</v>
      </c>
      <c r="AH19" s="831">
        <f t="shared" si="7"/>
        <v>289</v>
      </c>
      <c r="AI19" s="831">
        <f t="shared" si="7"/>
        <v>0</v>
      </c>
      <c r="AJ19" s="824">
        <f t="shared" si="7"/>
        <v>0</v>
      </c>
      <c r="AK19" s="831">
        <f t="shared" si="7"/>
        <v>0</v>
      </c>
      <c r="AL19" s="831">
        <f t="shared" si="7"/>
        <v>0</v>
      </c>
      <c r="AM19" s="831">
        <f t="shared" si="7"/>
        <v>17664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2511</v>
      </c>
      <c r="BD19" s="823">
        <f t="shared" si="7"/>
        <v>9219</v>
      </c>
      <c r="BE19" s="823">
        <f t="shared" si="7"/>
        <v>0</v>
      </c>
      <c r="BF19" s="833">
        <f t="shared" si="7"/>
        <v>0</v>
      </c>
      <c r="BG19" s="918">
        <f>IF(ISNUMBER(Datos!K19/Datos!J19),Datos!K19/Datos!J19," - ")</f>
        <v>0.8085521819779361</v>
      </c>
      <c r="BH19" s="918">
        <f>IF(ISNUMBER(((Datos!L19/Datos!K19)*11)/factor_trimestre),((Datos!L19/Datos!K19)*11)/factor_trimestre," - ")</f>
        <v>16.005916445303065</v>
      </c>
      <c r="BI19" s="816">
        <f>IF(ISNUMBER(Datos!J19/Datos!I19),Datos!J19/Datos!I19," - ")</f>
        <v>0.98637392267321489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-1.4860445912469034</v>
      </c>
      <c r="BM19" s="892">
        <f>IF(ISNUMBER((Datos!P19-Datos!Q19+R19)/(Datos!R19-Datos!P19+Datos!Q19-R19)),(Datos!P19-Datos!Q19+R19)/(Datos!R19-Datos!P19+Datos!Q19-R19)," - ")</f>
        <v>9.7483690587138863E-2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2852.8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3.6893239368631092</v>
      </c>
      <c r="F21" s="554">
        <f>IF(ISNUMBER(STDEV(F8:F18)),STDEV(F8:F18),"-")</f>
        <v>3176.0038308121316</v>
      </c>
      <c r="G21" s="555">
        <f>IF(ISNUMBER(STDEV(G8:G18)),STDEV(G8:G18),"-")</f>
        <v>3335.4410802770899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4335.2240657202483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626.8237391803217</v>
      </c>
      <c r="BD21" s="554"/>
      <c r="BE21" s="554">
        <f>IF(ISNUMBER(STDEV(BE8:BE18)),STDEV(BE8:BE18),"-")</f>
        <v>0</v>
      </c>
      <c r="BF21" s="559">
        <f>IF(ISNUMBER(STDEV(BF8:BF18)),STDEV(BF8:BF18),"-")</f>
        <v>0</v>
      </c>
      <c r="BG21" s="778">
        <f>IF(ISNUMBER(STDEV(BG8:BG18)),STDEV(BG8:BG18),"-")</f>
        <v>0.13207523974183397</v>
      </c>
      <c r="BH21" s="779">
        <f>IF(ISNUMBER(STDEV(BH8:BH18)),STDEV(BH8:BH18),"-")</f>
        <v>9.3580666602703708</v>
      </c>
      <c r="BI21" s="252">
        <f>IF(ISNUMBER(STDEV(BI8:BI18)),STDEV(BI8:BI18),"-")</f>
        <v>5.5338085261523555E-2</v>
      </c>
      <c r="BJ21" s="233" t="str">
        <f>IF(ISNUMBER(BL21/BM21),BL21/BM21," - ")</f>
        <v xml:space="preserve"> - </v>
      </c>
      <c r="BK21" s="578"/>
      <c r="BL21" s="562">
        <f>IF(ISNUMBER(STDEV(BL8:BL18)),STDEV(BL8:BL18),"-")</f>
        <v>0.75340321468978866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vPdU/oXl8Y/Vj1kqTFkeMZgWVHvMjGnuy2JDM/P4FalmZYjyWc+Id4jHd5oLkrWkxcaE59Lfd8RmfofWI2whw==" saltValue="0Ky0vwFqN/6OO0Jn4kgo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ILLESCAS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277</v>
      </c>
      <c r="G10" s="228">
        <f>IF(ISNUMBER(Datos!I10),Datos!I10," - ")</f>
        <v>277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130</v>
      </c>
      <c r="Z10" s="622">
        <f>IF(ISNUMBER(Datos!Q10),Datos!Q10," - ")</f>
        <v>17</v>
      </c>
      <c r="AA10" s="335">
        <f>IF(ISNUMBER(Datos!L10),Datos!L10,"-")</f>
        <v>341</v>
      </c>
      <c r="AB10" s="337"/>
      <c r="AC10" s="337"/>
      <c r="AD10" s="487"/>
      <c r="AE10" s="487">
        <f>IF(ISNUMBER(Datos!R10),Datos!R10," - ")</f>
        <v>228</v>
      </c>
      <c r="AF10" s="232" t="str">
        <f>IF(ISNUMBER(Datos!BV10),Datos!BV10," - ")</f>
        <v xml:space="preserve"> - </v>
      </c>
      <c r="AG10" s="228" t="str">
        <f>IF(ISNUMBER(Datos!DV10),Datos!DV10," - ")</f>
        <v xml:space="preserve"> - </v>
      </c>
      <c r="AH10" s="301"/>
      <c r="AI10" s="230"/>
      <c r="AJ10" s="228">
        <f>IF(ISNUMBER(Datos!M10),Datos!M10," - ")</f>
        <v>74</v>
      </c>
      <c r="AK10" s="232">
        <f>IF(ISNUMBER(Datos!N10),Datos!N10," - ")</f>
        <v>31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28.853846153846153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9.0909090909090912E-2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2157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747</v>
      </c>
      <c r="AA12" s="335" t="str">
        <f>IF(ISNUMBER(IF(J_V="SI",Datos!L12,Datos!L12+Datos!AB12)-IF(Monitorios="SI",Datos!CD12,0)),
                          IF(J_V="SI",Datos!L12,Datos!L12+Datos!AB12)-IF(Monitorios="SI",Datos!CD12,0),
                          " - ")</f>
        <v xml:space="preserve"> - </v>
      </c>
      <c r="AB12" s="337"/>
      <c r="AC12" s="337"/>
      <c r="AD12" s="487"/>
      <c r="AE12" s="487">
        <f>IF(ISNUMBER(Datos!R12),Datos!R12," - ")</f>
        <v>16959</v>
      </c>
      <c r="AF12" s="232" t="str">
        <f>IF(ISNUMBER(Datos!BV12),Datos!BV12," - ")</f>
        <v xml:space="preserve"> - </v>
      </c>
      <c r="AG12" s="228" t="str">
        <f>IF(ISNUMBER(Datos!DV12),Datos!DV12," - ")</f>
        <v xml:space="preserve"> - </v>
      </c>
      <c r="AH12" s="301"/>
      <c r="AI12" s="230"/>
      <c r="AJ12" s="228">
        <f>IF(ISNUMBER(Datos!M12),Datos!M12," - ")</f>
        <v>1446</v>
      </c>
      <c r="AK12" s="232">
        <f>IF(ISNUMBER(Datos!N12),Datos!N12," - ")</f>
        <v>3230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23.375514275028053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9.0681072737796645E-2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277</v>
      </c>
      <c r="G13" s="901">
        <f>SUBTOTAL(9,G8:G12)</f>
        <v>277</v>
      </c>
      <c r="H13" s="911"/>
      <c r="I13" s="901">
        <f t="shared" ref="I13:N13" si="0">SUBTOTAL(9,I8:I12)</f>
        <v>0</v>
      </c>
      <c r="J13" s="870">
        <f t="shared" si="0"/>
        <v>0</v>
      </c>
      <c r="K13" s="911">
        <f t="shared" si="0"/>
        <v>0</v>
      </c>
      <c r="L13" s="911">
        <f t="shared" si="0"/>
        <v>0</v>
      </c>
      <c r="M13" s="911">
        <f t="shared" si="0"/>
        <v>0</v>
      </c>
      <c r="N13" s="911">
        <f t="shared" si="0"/>
        <v>2193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130</v>
      </c>
      <c r="Z13" s="910">
        <f t="shared" si="2"/>
        <v>764</v>
      </c>
      <c r="AA13" s="903">
        <f t="shared" si="2"/>
        <v>341</v>
      </c>
      <c r="AB13" s="903">
        <f t="shared" si="2"/>
        <v>0</v>
      </c>
      <c r="AC13" s="903">
        <f t="shared" si="2"/>
        <v>0</v>
      </c>
      <c r="AD13" s="903">
        <f t="shared" si="2"/>
        <v>0</v>
      </c>
      <c r="AE13" s="903">
        <f t="shared" si="2"/>
        <v>17187</v>
      </c>
      <c r="AF13" s="911">
        <f t="shared" si="2"/>
        <v>0</v>
      </c>
      <c r="AG13" s="911">
        <f t="shared" si="2"/>
        <v>0</v>
      </c>
      <c r="AH13" s="911">
        <f t="shared" si="2"/>
        <v>0</v>
      </c>
      <c r="AI13" s="911">
        <f t="shared" si="2"/>
        <v>0</v>
      </c>
      <c r="AJ13" s="911">
        <f t="shared" si="2"/>
        <v>1520</v>
      </c>
      <c r="AK13" s="911">
        <f t="shared" si="2"/>
        <v>3261</v>
      </c>
      <c r="AL13" s="911">
        <f t="shared" si="2"/>
        <v>0</v>
      </c>
      <c r="AM13" s="911">
        <f t="shared" si="2"/>
        <v>0</v>
      </c>
      <c r="AN13" s="911">
        <f t="shared" si="2"/>
        <v>0</v>
      </c>
      <c r="AO13" s="907">
        <f>IF(ISNUMBER(((NºAsuntos!I13/NºAsuntos!G13)*11)/factor_trimestre),((NºAsuntos!I13/NºAsuntos!G13)*11)/factor_trimestre," - ")</f>
        <v>23.462887989203779</v>
      </c>
      <c r="AP13" s="913" t="str">
        <f>IF(ISNUMBER(Datos!CI13/Datos!CJ13),Datos!CI13/Datos!CJ13," - ")</f>
        <v xml:space="preserve"> - </v>
      </c>
      <c r="AQ13" s="931">
        <f t="shared" ref="AQ13:AV13" si="3">SUBTOTAL(9,AQ9:AQ12)</f>
        <v>0</v>
      </c>
      <c r="AR13" s="931">
        <f t="shared" si="3"/>
        <v>0.18159016364688757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5778</v>
      </c>
      <c r="G16" s="228">
        <f>IF(ISNUMBER(IF(D_I="SI",Datos!I16,Datos!I16+Datos!AC16)),IF(D_I="SI",Datos!I16,Datos!I16+Datos!AC16)," - ")</f>
        <v>6125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189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7747</v>
      </c>
      <c r="Z16" s="622">
        <f>IF(ISNUMBER(Datos!Q16),Datos!Q16," - ")</f>
        <v>57</v>
      </c>
      <c r="AA16" s="335">
        <f>IF(ISNUMBER(IF(D_I="SI",Datos!L16,Datos!L16+Datos!AF16)),IF(D_I="SI",Datos!L16,Datos!L16+Datos!AF16)," - ")</f>
        <v>6078</v>
      </c>
      <c r="AB16" s="337"/>
      <c r="AC16" s="337"/>
      <c r="AD16" s="487"/>
      <c r="AE16" s="487">
        <f>IF(ISNUMBER(Datos!R16),Datos!R16," - ")</f>
        <v>465</v>
      </c>
      <c r="AF16" s="232" t="str">
        <f>IF(ISNUMBER(Datos!BV16),Datos!BV16," - ")</f>
        <v xml:space="preserve"> - </v>
      </c>
      <c r="AG16" s="228"/>
      <c r="AH16" s="301"/>
      <c r="AI16" s="230"/>
      <c r="AJ16" s="228">
        <f>IF(ISNUMBER(Datos!M16),Datos!M16," - ")</f>
        <v>875</v>
      </c>
      <c r="AK16" s="232">
        <f>IF(ISNUMBER(Datos!N16),Datos!N16," - ")</f>
        <v>5072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8.6301794242932743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730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1121</v>
      </c>
      <c r="Z17" s="622">
        <f>IF(ISNUMBER(Datos!Q17),Datos!Q17," - ")</f>
        <v>2</v>
      </c>
      <c r="AA17" s="335">
        <f>IF(ISNUMBER(Datos!L17),Datos!L17,"-")</f>
        <v>927</v>
      </c>
      <c r="AB17" s="337"/>
      <c r="AC17" s="337"/>
      <c r="AD17" s="487"/>
      <c r="AE17" s="487">
        <f>IF(ISNUMBER(Datos!R17),Datos!R17," - ")</f>
        <v>12</v>
      </c>
      <c r="AF17" s="232" t="str">
        <f>IF(ISNUMBER(Datos!BV17),Datos!BV17," - ")</f>
        <v xml:space="preserve"> - </v>
      </c>
      <c r="AG17" s="228" t="str">
        <f>IF(ISNUMBER(Datos!DV17),Datos!DV17," - ")</f>
        <v xml:space="preserve"> - </v>
      </c>
      <c r="AH17" s="301"/>
      <c r="AI17" s="230"/>
      <c r="AJ17" s="228">
        <f>IF(ISNUMBER(Datos!M17),Datos!M17," - ")</f>
        <v>116</v>
      </c>
      <c r="AK17" s="232">
        <f>IF(ISNUMBER(Datos!N17),Datos!N17," - ")</f>
        <v>886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9.0963425512934872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5778</v>
      </c>
      <c r="G18" s="901">
        <f>SUBTOTAL(9,G15:G17)</f>
        <v>6855</v>
      </c>
      <c r="H18" s="935">
        <f>SUBTOTAL(9,H15:H17)</f>
        <v>0</v>
      </c>
      <c r="I18" s="914">
        <f>SUBTOTAL(9,I15:I17)</f>
        <v>0</v>
      </c>
      <c r="J18" s="870">
        <f>SUBTOTAL(9,J14:J17)</f>
        <v>0</v>
      </c>
      <c r="K18" s="935">
        <f t="shared" ref="K18:S18" si="4">SUBTOTAL(9,K15:K17)</f>
        <v>0</v>
      </c>
      <c r="L18" s="935">
        <f t="shared" si="4"/>
        <v>0</v>
      </c>
      <c r="M18" s="935">
        <f t="shared" si="4"/>
        <v>0</v>
      </c>
      <c r="N18" s="935">
        <f t="shared" si="4"/>
        <v>199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8868</v>
      </c>
      <c r="Z18" s="935">
        <f t="shared" si="5"/>
        <v>59</v>
      </c>
      <c r="AA18" s="935">
        <f t="shared" si="5"/>
        <v>7005</v>
      </c>
      <c r="AB18" s="935">
        <f t="shared" si="5"/>
        <v>0</v>
      </c>
      <c r="AC18" s="935">
        <f t="shared" si="5"/>
        <v>0</v>
      </c>
      <c r="AD18" s="935">
        <f t="shared" si="5"/>
        <v>0</v>
      </c>
      <c r="AE18" s="935">
        <f t="shared" si="5"/>
        <v>477</v>
      </c>
      <c r="AF18" s="935">
        <f t="shared" si="5"/>
        <v>0</v>
      </c>
      <c r="AG18" s="935">
        <f t="shared" si="5"/>
        <v>0</v>
      </c>
      <c r="AH18" s="935">
        <f t="shared" si="5"/>
        <v>0</v>
      </c>
      <c r="AI18" s="935">
        <f t="shared" si="5"/>
        <v>0</v>
      </c>
      <c r="AJ18" s="935">
        <f t="shared" si="5"/>
        <v>991</v>
      </c>
      <c r="AK18" s="935">
        <f t="shared" si="5"/>
        <v>5958</v>
      </c>
      <c r="AL18" s="935">
        <f t="shared" si="5"/>
        <v>0</v>
      </c>
      <c r="AM18" s="935">
        <f t="shared" si="5"/>
        <v>0</v>
      </c>
      <c r="AN18" s="935">
        <f t="shared" si="5"/>
        <v>0</v>
      </c>
      <c r="AO18" s="937">
        <f>IF(ISNUMBER(((NºAsuntos!I18/NºAsuntos!G18)*11)/factor_trimestre),((NºAsuntos!I18/NºAsuntos!G18)*11)/factor_trimestre," - ")</f>
        <v>8.6891069012178619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6055</v>
      </c>
      <c r="G19" s="823">
        <f t="shared" si="7"/>
        <v>7132</v>
      </c>
      <c r="H19" s="824">
        <f t="shared" si="7"/>
        <v>0</v>
      </c>
      <c r="I19" s="823">
        <f t="shared" si="7"/>
        <v>0</v>
      </c>
      <c r="J19" s="825">
        <f t="shared" si="7"/>
        <v>0</v>
      </c>
      <c r="K19" s="823">
        <f t="shared" si="7"/>
        <v>0</v>
      </c>
      <c r="L19" s="826">
        <f t="shared" si="7"/>
        <v>0</v>
      </c>
      <c r="M19" s="823">
        <f t="shared" si="7"/>
        <v>0</v>
      </c>
      <c r="N19" s="824">
        <f t="shared" si="7"/>
        <v>2392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8998</v>
      </c>
      <c r="Z19" s="830">
        <f t="shared" si="8"/>
        <v>823</v>
      </c>
      <c r="AA19" s="831">
        <f t="shared" si="8"/>
        <v>7346</v>
      </c>
      <c r="AB19" s="831">
        <f t="shared" si="8"/>
        <v>0</v>
      </c>
      <c r="AC19" s="831">
        <f t="shared" si="8"/>
        <v>0</v>
      </c>
      <c r="AD19" s="832">
        <f t="shared" si="8"/>
        <v>0</v>
      </c>
      <c r="AE19" s="832">
        <f t="shared" si="8"/>
        <v>17664</v>
      </c>
      <c r="AF19" s="833">
        <f t="shared" si="8"/>
        <v>0</v>
      </c>
      <c r="AG19" s="834">
        <f t="shared" si="8"/>
        <v>0</v>
      </c>
      <c r="AH19" s="835">
        <f t="shared" si="8"/>
        <v>0</v>
      </c>
      <c r="AI19" s="833">
        <f t="shared" si="8"/>
        <v>0</v>
      </c>
      <c r="AJ19" s="823">
        <f t="shared" si="8"/>
        <v>2511</v>
      </c>
      <c r="AK19" s="823">
        <f t="shared" si="8"/>
        <v>9219</v>
      </c>
      <c r="AL19" s="823">
        <f t="shared" si="8"/>
        <v>0</v>
      </c>
      <c r="AM19" s="836">
        <f t="shared" si="8"/>
        <v>0</v>
      </c>
      <c r="AN19" s="826">
        <f>IF(ISNUMBER(Datos!K19/Datos!J19),Datos!K19/Datos!J19," - ")</f>
        <v>0.8085521819779361</v>
      </c>
      <c r="AO19" s="826">
        <f>IF(ISNUMBER(FIND("06",Criterios!A8,1)),(IF(ISNUMBER(((Datos!R19/Datos!Q19)*11)/factor_trimestre),((Datos!R19/Datos!Q19)*11)/factor_trimestre," - ")),(IF(ISNUMBER(((Datos!L19/Datos!K19)*11)/factor_trimestre),((Datos!L19/Datos!K19)*11)/factor_trimestre," - ")))</f>
        <v>16.005916445303065</v>
      </c>
      <c r="AP19" s="837" t="str">
        <f>IF(ISNUMBER(Datos!CI19/Datos!CJ19),Datos!CI19/Datos!CJ19," - ")</f>
        <v xml:space="preserve"> - </v>
      </c>
      <c r="AQ19" s="837">
        <f>IF(OR(ISNUMBER(FIND("01",Criterios!A8,1)),ISNUMBER(FIND("02",Criterios!A8,1)),ISNUMBER(FIND("03",Criterios!A8,1)),ISNUMBER(FIND("04",Criterios!A8,1))),(J19-Y19+K19)/(F19-K19),(I19-Y19+K19)/(F19-K19))</f>
        <v>-1.4860445912469034</v>
      </c>
      <c r="AR19" s="837">
        <f>IF(ISNUMBER((Datos!P19-Datos!Q19+O19)/(Datos!R19-Datos!P19+Datos!Q19-O19)),(Datos!P19-Datos!Q19+O19)/(Datos!R19-Datos!P19+Datos!Q19-O19)," - ")</f>
        <v>9.7483690587138863E-2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2852.8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3176.0038308121316</v>
      </c>
      <c r="G21" s="555">
        <f>IF(ISNUMBER(STDEV(G8:G18)),STDEV(G8:G18),"-")</f>
        <v>3335.4410802770899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626.8237391803217</v>
      </c>
      <c r="AK21" s="255"/>
      <c r="AL21" s="255">
        <f>IF(ISNUMBER(STDEV(AL8:AL18)),STDEV(AL8:AL18),"-")</f>
        <v>0</v>
      </c>
      <c r="AM21" s="257">
        <f>IF(ISNUMBER(STDEV(AM8:AM18)),STDEV(AM8:AM18),"-")</f>
        <v>0</v>
      </c>
      <c r="AN21" s="542">
        <f>IF(ISNUMBER(STDEV(AN8:AN18)),STDEV(AN8:AN18),"-")</f>
        <v>0</v>
      </c>
      <c r="AO21" s="543">
        <f>IF(ISNUMBER(STDEV(AO8:AO18)),STDEV(AO8:AO18),"-")</f>
        <v>9.2143418009254638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YvogazHZvDtwc9zhVZcHtjSLqkZa4xxVoQ3On+kXmyxYvl9KQ0/ZydxLYqawBAEi7YkvvAMoc1MtScvCX8myA==" saltValue="5k3X7ywpnRuDyMrRvs4P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oRjK0VgdW9aI20AZNYqMvaJ7B3ng84/MQ3/FJKa0/MA1eBrUI+dTb6neKiqoEsuBaKbIsjhUWCVDFigWzHZUg==" saltValue="3AlNi84Ps3sZ2kFuQPfP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KYCKncK11k60z9vPUrRsvbDTvgdckbATndN7adHXJ/LJVIhunnurb0EaBafWyu7TinJqy3ZEqNAbzDTwFe8Dw==" saltValue="PUQqFHjYYFCSZS3pe7Tzq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ILLESCAS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0.18648018648018649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0.13186140441707181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9SmqjxlickeGgHZA0+5jfGBX5m4Lbdr7nyTnlwqIPlzY5frwt6Rw5M+/MvgNy0rLT+51ZRkw2qav1jMEopVnUQ==" saltValue="+dQcQKzF5J62s4WCL12A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mMUuYzVmZe+CkMIeRsDPD/DWWrgpGt9GSMe51cZ3R2wxzVuYcxSxqTjgNGKN40Ox6kNZ2mlGLU1QLpZZgCQGQ==" saltValue="pnJ/2d+PWC6Qwrda6b2o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ILLESCAS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277</v>
      </c>
      <c r="D10" s="407">
        <f>IF(ISNUMBER(C10/Datos!BH10),C10/Datos!BH10," - ")</f>
        <v>277</v>
      </c>
      <c r="E10" s="406">
        <f>IF(ISNUMBER(Datos!J10),Datos!J10," - ")</f>
        <v>194</v>
      </c>
      <c r="F10" s="407">
        <f>IF(ISNUMBER(E10/B10),E10/B10," - ")</f>
        <v>194</v>
      </c>
      <c r="G10" s="406">
        <f>IF(ISNUMBER(Datos!K10),Datos!K10," - ")</f>
        <v>130</v>
      </c>
      <c r="H10" s="407">
        <f>IF(ISNUMBER(G10/B10),G10/B10," - ")</f>
        <v>130</v>
      </c>
      <c r="I10" s="406">
        <f>IF(ISNUMBER(Datos!L10),Datos!L10," - ")</f>
        <v>341</v>
      </c>
      <c r="J10" s="407">
        <f>IF(ISNUMBER(I10/B10),I10/B10," - ")</f>
        <v>341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13998</v>
      </c>
      <c r="D12" s="407">
        <f>IF(ISNUMBER(C12/Datos!BH12),C12/Datos!BH12," - ")</f>
        <v>1999.7142857142858</v>
      </c>
      <c r="E12" s="406">
        <f>IF(ISNUMBER(IF(J_V="SI",Datos!J12,Datos!J12+Datos!Z12)),IF(J_V="SI",Datos!J12,Datos!J12+Datos!Z12)," - ")</f>
        <v>11309</v>
      </c>
      <c r="F12" s="407">
        <f>IF(ISNUMBER(E12/B12),E12/B12," - ")</f>
        <v>1615.5714285714287</v>
      </c>
      <c r="G12" s="406">
        <f>IF(ISNUMBER(IF(J_V="SI",Datos!K12,Datos!K12+Datos!AA12)),IF(J_V="SI",Datos!K12,Datos!K12+Datos!AA12)," - ")</f>
        <v>8021</v>
      </c>
      <c r="H12" s="407">
        <f>IF(ISNUMBER(G12/B12),G12/B12," - ")</f>
        <v>1145.8571428571429</v>
      </c>
      <c r="I12" s="406">
        <f>IF(ISNUMBER(IF(J_V="SI",Datos!L12,Datos!L12+Datos!AB12)),IF(J_V="SI",Datos!L12,Datos!L12+Datos!AB12)," - ")</f>
        <v>17045</v>
      </c>
      <c r="J12" s="407">
        <f>IF(ISNUMBER(I12/B12),I12/B12," - ")</f>
        <v>2435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14275</v>
      </c>
      <c r="D13" s="853" t="str">
        <f>IF(ISNUMBER(C13/Datos!BI13),C13/Datos!BI13," - ")</f>
        <v xml:space="preserve"> - </v>
      </c>
      <c r="E13" s="852">
        <f>SUBTOTAL(9,E8:E12)</f>
        <v>11503</v>
      </c>
      <c r="F13" s="853">
        <f>IF(ISNUMBER(E13/B13),E13/B13," - ")</f>
        <v>1643.2857142857142</v>
      </c>
      <c r="G13" s="852">
        <f>SUBTOTAL(9,G8:G12)</f>
        <v>8151</v>
      </c>
      <c r="H13" s="853">
        <f>IF(ISNUMBER(G13/B13),G13/B13," - ")</f>
        <v>1164.4285714285713</v>
      </c>
      <c r="I13" s="852">
        <f>SUBTOTAL(9,I8:I12)</f>
        <v>17386</v>
      </c>
      <c r="J13" s="853">
        <f>IF(ISNUMBER(I13/B13),I13/B13," - ")</f>
        <v>2483.7142857142858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6125</v>
      </c>
      <c r="D16" s="407">
        <f>IF(ISNUMBER(C16/Datos!BH16),C16/Datos!BH16," - ")</f>
        <v>875</v>
      </c>
      <c r="E16" s="406">
        <f>IF(ISNUMBER(IF(D_I="SI",Datos!J16,Datos!J16+Datos!AD16)),IF(D_I="SI",Datos!J16,Datos!J16+Datos!AD16)," - ")</f>
        <v>8047</v>
      </c>
      <c r="F16" s="407">
        <f>IF(ISNUMBER(E16/B16),E16/B16," - ")</f>
        <v>1149.5714285714287</v>
      </c>
      <c r="G16" s="406">
        <f>IF(ISNUMBER(IF(D_I="SI",Datos!K16,Datos!K16+Datos!AE16)),IF(D_I="SI",Datos!K16,Datos!K16+Datos!AE16)," - ")</f>
        <v>7747</v>
      </c>
      <c r="H16" s="407">
        <f>IF(ISNUMBER(G16/B16),G16/B16," - ")</f>
        <v>1106.7142857142858</v>
      </c>
      <c r="I16" s="406">
        <f>IF(ISNUMBER(IF(D_I="SI",Datos!L16,Datos!L16+Datos!AF16)),IF(D_I="SI",Datos!L16,Datos!L16+Datos!AF16)," - ")</f>
        <v>6078</v>
      </c>
      <c r="J16" s="407">
        <f>IF(ISNUMBER(I16/B16),I16/B16," - ")</f>
        <v>868.28571428571433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730</v>
      </c>
      <c r="D17" s="407">
        <f>IF(ISNUMBER(C17/Datos!BH17),C17/Datos!BH17," - ")</f>
        <v>730</v>
      </c>
      <c r="E17" s="406">
        <f>IF(ISNUMBER(IF(D_I="SI",Datos!J17,Datos!J17+Datos!AD17)),IF(D_I="SI",Datos!J17,Datos!J17+Datos!AD17)," - ")</f>
        <v>1318</v>
      </c>
      <c r="F17" s="407">
        <f>IF(ISNUMBER(E17/B17),E17/B17," - ")</f>
        <v>1318</v>
      </c>
      <c r="G17" s="406">
        <f>IF(ISNUMBER(IF(D_I="SI",Datos!K17,Datos!K17+Datos!AE17)),IF(D_I="SI",Datos!K17,Datos!K17+Datos!AE17)," - ")</f>
        <v>1121</v>
      </c>
      <c r="H17" s="407">
        <f>IF(ISNUMBER(G17/B17),G17/B17," - ")</f>
        <v>1121</v>
      </c>
      <c r="I17" s="406">
        <f>IF(ISNUMBER(IF(D_I="SI",Datos!L17,Datos!L17+Datos!AF17)),IF(D_I="SI",Datos!L17,Datos!L17+Datos!AF17)," - ")</f>
        <v>927</v>
      </c>
      <c r="J17" s="407">
        <f>IF(ISNUMBER(I17/B17),I17/B17," - ")</f>
        <v>927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6855</v>
      </c>
      <c r="D18" s="853" t="str">
        <f>IF(ISNUMBER(C18/Datos!BI18),C18/Datos!BI18," - ")</f>
        <v xml:space="preserve"> - </v>
      </c>
      <c r="E18" s="852">
        <f>SUBTOTAL(9,E14:E17)</f>
        <v>9365</v>
      </c>
      <c r="F18" s="853">
        <f>IF(ISNUMBER(E18/B18),E18/B18," - ")</f>
        <v>1337.8571428571429</v>
      </c>
      <c r="G18" s="852">
        <f>SUBTOTAL(9,G14:G17)</f>
        <v>8868</v>
      </c>
      <c r="H18" s="853">
        <f>IF(ISNUMBER(G18/B18),G18/B18," - ")</f>
        <v>1266.8571428571429</v>
      </c>
      <c r="I18" s="852">
        <f>SUBTOTAL(9,I14:I17)</f>
        <v>7005</v>
      </c>
      <c r="J18" s="853">
        <f>IF(ISNUMBER(I18/B18),I18/B18," - ")</f>
        <v>1000.7142857142857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21130</v>
      </c>
      <c r="D19" s="798" t="str">
        <f>IF(ISNUMBER(C19/Datos!BI19),C19/Datos!BI19," - ")</f>
        <v xml:space="preserve"> - </v>
      </c>
      <c r="E19" s="797">
        <f>SUBTOTAL(9,E9:E18)</f>
        <v>20868</v>
      </c>
      <c r="F19" s="798">
        <f>IF(ISNUMBER(E19/B19),E19/B19," - ")</f>
        <v>2981.1428571428573</v>
      </c>
      <c r="G19" s="797">
        <f>SUBTOTAL(9,G9:G18)</f>
        <v>17019</v>
      </c>
      <c r="H19" s="798">
        <f>IF(ISNUMBER(G19/B19),G19/B19," - ")</f>
        <v>2431.2857142857142</v>
      </c>
      <c r="I19" s="797">
        <f>SUBTOTAL(9,I9:I18)</f>
        <v>24391</v>
      </c>
      <c r="J19" s="798">
        <f>IF(ISNUMBER(I19/B19),I19/B19," - ")</f>
        <v>3484.4285714285716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5wvH8p5ApG7Go9/mXXZ4uGGBDjBvkgcs3pLuw7MqFlPi8P6xcAqR0YZ/hCDTzcZoCPD6bDigoOjZrtufn39xTg==" saltValue="owaJ/GRmEMyi6N9+IokW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ILLESCAS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277</v>
      </c>
      <c r="G10" s="687">
        <f>IF(ISNUMBER(Datos!I10),Datos!I10," - ")</f>
        <v>277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130</v>
      </c>
      <c r="AC10" s="686" t="str">
        <f>IF(ISNUMBER(IF(D_I="SI",DatosP!K17,DatosP!K17+DatosP!AE17)),IF(D_I="SI",DatosP!K17,DatosP!K17+DatosP!AE17)," - ")</f>
        <v xml:space="preserve"> - </v>
      </c>
      <c r="AD10" s="688"/>
      <c r="AE10" s="688"/>
      <c r="AF10" s="691">
        <f>IF(ISNUMBER(Datos!L10),Datos!L10,"-")</f>
        <v>341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74</v>
      </c>
      <c r="AM10" s="693">
        <f>IF(ISNUMBER(Datos!N10+DatosP!N17),Datos!N10+DatosP!N17," - ")</f>
        <v>31</v>
      </c>
      <c r="AN10" s="693">
        <f>IF(ISNUMBER(Datos!BW10+DatosP!BW17),Datos!BW10+DatosP!BW17," - ")</f>
        <v>0</v>
      </c>
      <c r="AO10" s="694">
        <f>IF(ISNUMBER(Datos!BX10+DatosP!BX17),Datos!BX10+DatosP!BX17," - ")</f>
        <v>0</v>
      </c>
      <c r="AP10" s="696">
        <f>IF(ISNUMBER(((Datos!L10/Datos!K10)*11)/factor_trimestre),((Datos!L10/Datos!K10)*11)/factor_trimestre," - ")</f>
        <v>28.853846153846153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2157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747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16959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1446</v>
      </c>
      <c r="AM12" s="693">
        <f>IF(ISNUMBER(Datos!N12+DatosP!N16),Datos!N12+DatosP!N16," - ")</f>
        <v>3230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23.375514275028053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9.0681072737796645E-2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277</v>
      </c>
      <c r="G13" s="941">
        <f t="shared" si="0"/>
        <v>277</v>
      </c>
      <c r="H13" s="941">
        <f t="shared" si="0"/>
        <v>0</v>
      </c>
      <c r="I13" s="943">
        <f t="shared" si="0"/>
        <v>0</v>
      </c>
      <c r="J13" s="942">
        <f t="shared" si="0"/>
        <v>0</v>
      </c>
      <c r="K13" s="942">
        <f t="shared" si="0"/>
        <v>0</v>
      </c>
      <c r="L13" s="944">
        <f t="shared" si="0"/>
        <v>0</v>
      </c>
      <c r="M13" s="944">
        <f t="shared" si="0"/>
        <v>0</v>
      </c>
      <c r="N13" s="942">
        <f t="shared" si="0"/>
        <v>2193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130</v>
      </c>
      <c r="AC13" s="942">
        <f t="shared" si="1"/>
        <v>0</v>
      </c>
      <c r="AD13" s="942">
        <f t="shared" si="1"/>
        <v>747</v>
      </c>
      <c r="AE13" s="942">
        <f t="shared" si="1"/>
        <v>0</v>
      </c>
      <c r="AF13" s="942">
        <f t="shared" si="1"/>
        <v>341</v>
      </c>
      <c r="AG13" s="942">
        <f t="shared" si="1"/>
        <v>0</v>
      </c>
      <c r="AH13" s="942">
        <f t="shared" si="1"/>
        <v>16959</v>
      </c>
      <c r="AI13" s="942">
        <f t="shared" si="1"/>
        <v>0</v>
      </c>
      <c r="AJ13" s="942">
        <f t="shared" si="1"/>
        <v>0</v>
      </c>
      <c r="AK13" s="942">
        <f t="shared" si="1"/>
        <v>0</v>
      </c>
      <c r="AL13" s="942">
        <f t="shared" si="1"/>
        <v>1520</v>
      </c>
      <c r="AM13" s="942">
        <f t="shared" si="1"/>
        <v>3261</v>
      </c>
      <c r="AN13" s="942">
        <f t="shared" si="1"/>
        <v>0</v>
      </c>
      <c r="AO13" s="942">
        <f t="shared" si="1"/>
        <v>0</v>
      </c>
      <c r="AP13" s="947">
        <f>IF(ISNUMBER(((Datos!L13/Datos!K13)*11)/factor_trimestre),((Datos!L13/Datos!K13)*11)/factor_trimestre," - ")</f>
        <v>24.43698024948025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-0.46931407942238268</v>
      </c>
      <c r="AU13" s="942" t="str">
        <f>IF(ISNUMBER((DatosP!#REF!-DatosP!#REF!+DatosP!#REF!)/(DatosP!#REF!+DatosP!#REF!-DatosP!#REF!-DatosP!#REF!)),(DatosP!#REF!-DatosP!#REF!+DatosP!#REF!)/(DatosP!#REF!+DatosP!#REF!-DatosP!#REF!-DatosP!#REF!)," - ")</f>
        <v xml:space="preserve"> - </v>
      </c>
      <c r="AV13" s="948">
        <f>SUBTOTAL(9,AV9:AV12)</f>
        <v>9.0681072737796645E-2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8.6891069012178619</v>
      </c>
      <c r="AQ18" s="947">
        <f>IF(ISNUMBER(((Datos!M18/Datos!L18)*11)/factor_trimestre),((Datos!M18/Datos!L18)*11)/factor_trimestre," - ")</f>
        <v>1.5561741613133477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0.41543026706231456</v>
      </c>
      <c r="AW18" s="949">
        <f>IF(ISNUMBER((Datos!Q18-Datos!R18)/(Datos!S18-Datos!Q18+Datos!R18)),(Datos!Q18-Datos!R18)/(Datos!S18-Datos!Q18+Datos!R18)," - ")</f>
        <v>-6.6837224176527016E-2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277</v>
      </c>
      <c r="G19" s="954">
        <f t="shared" si="4"/>
        <v>277</v>
      </c>
      <c r="H19" s="954">
        <f t="shared" si="4"/>
        <v>0</v>
      </c>
      <c r="I19" s="955">
        <f t="shared" si="4"/>
        <v>0</v>
      </c>
      <c r="J19" s="956">
        <f t="shared" si="4"/>
        <v>0</v>
      </c>
      <c r="K19" s="956">
        <f t="shared" si="4"/>
        <v>0</v>
      </c>
      <c r="L19" s="956">
        <f t="shared" si="4"/>
        <v>0</v>
      </c>
      <c r="M19" s="956">
        <f t="shared" si="4"/>
        <v>0</v>
      </c>
      <c r="N19" s="955">
        <f t="shared" si="4"/>
        <v>2193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130</v>
      </c>
      <c r="AC19" s="960">
        <f t="shared" si="5"/>
        <v>0</v>
      </c>
      <c r="AD19" s="960">
        <f t="shared" si="5"/>
        <v>747</v>
      </c>
      <c r="AE19" s="960">
        <f t="shared" si="5"/>
        <v>0</v>
      </c>
      <c r="AF19" s="961">
        <f t="shared" si="5"/>
        <v>341</v>
      </c>
      <c r="AG19" s="961">
        <f t="shared" si="5"/>
        <v>0</v>
      </c>
      <c r="AH19" s="961">
        <f t="shared" si="5"/>
        <v>16959</v>
      </c>
      <c r="AI19" s="961">
        <f t="shared" si="5"/>
        <v>0</v>
      </c>
      <c r="AJ19" s="962">
        <f t="shared" si="5"/>
        <v>0</v>
      </c>
      <c r="AK19" s="962">
        <f t="shared" si="5"/>
        <v>0</v>
      </c>
      <c r="AL19" s="954">
        <f t="shared" si="5"/>
        <v>1520</v>
      </c>
      <c r="AM19" s="954">
        <f t="shared" si="5"/>
        <v>3261</v>
      </c>
      <c r="AN19" s="954">
        <f t="shared" si="5"/>
        <v>0</v>
      </c>
      <c r="AO19" s="954">
        <f t="shared" si="5"/>
        <v>0</v>
      </c>
      <c r="AP19" s="954">
        <f>IF(ISNUMBER(((Datos!L19/Datos!K19)*11)/factor_trimestre),((Datos!L19/Datos!K19)*11)/factor_trimestre," - ")</f>
        <v>16.005916445303065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-0.46931407942238268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9.7483690587138863E-2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184.66666666666666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159.92602456552635</v>
      </c>
      <c r="G21" s="740">
        <f>IF(ISNUMBER(STDEV(G8:G18)),STDEV(G8:G18),"-")</f>
        <v>159.92602456552635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75.055534994651353</v>
      </c>
      <c r="AC21" s="741">
        <f>IF(ISNUMBER(STDEV(AC8:AC18)),STDEV(AC8:AC18),"-")</f>
        <v>0</v>
      </c>
      <c r="AD21" s="744"/>
      <c r="AE21" s="744"/>
      <c r="AF21" s="744"/>
      <c r="AG21" s="744"/>
      <c r="AH21" s="744"/>
      <c r="AI21" s="744"/>
      <c r="AJ21" s="745">
        <f>IF(ISNUMBER(STDEV(AJ8:AJ18)),STDEV(AJ8:AJ18),"-")</f>
        <v>0</v>
      </c>
      <c r="AK21" s="747"/>
      <c r="AL21" s="739">
        <f>IF(ISNUMBER(STDEV(AL8:AL18)),STDEV(AL8:AL18),"-")</f>
        <v>835.94098675285284</v>
      </c>
      <c r="AM21" s="739"/>
      <c r="AN21" s="739">
        <f>IF(ISNUMBER(STDEV(AN8:AN18)),STDEV(AN8:AN18),"-")</f>
        <v>0</v>
      </c>
      <c r="AO21" s="745">
        <f>IF(ISNUMBER(STDEV(AO8:AO18)),STDEV(AO8:AO18),"-")</f>
        <v>0</v>
      </c>
      <c r="AP21" s="782">
        <f>IF(ISNUMBER(STDEV(AP8:AP18)),STDEV(AP8:AP18),"-")</f>
        <v>8.7604714498110443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A+b09Prq6N06isGaVQAJIPXpOD4xEt88HGQS/mZAgehmydnA7xC1QCgbiw9NZgvAsz3zbaZxr09xQ0UnGeFigw==" saltValue="/WOY04mYvlPhFwA0+SMZ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TOLEDO</v>
      </c>
      <c r="C3" s="418"/>
      <c r="F3" s="378"/>
      <c r="G3" s="378"/>
      <c r="H3" s="378"/>
    </row>
    <row r="4" spans="1:15" ht="13.5" thickBot="1">
      <c r="A4" s="378"/>
      <c r="B4" s="394" t="str">
        <f>Criterios!A11 &amp;"  "&amp;Criterios!B11</f>
        <v>Resumenes por Partidos Judiciales  ILLESCAS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CyFNEs4ytgF19NFje9jxGikWX7S1jMJohIPDpYR1vgnK/SAH9ljMyjJegGXJ5qn3TmuqC8oAIrZ9f0LtMKnw==" saltValue="fBUHAh86PzmeKYe/fwmG3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ILLESCAS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74</v>
      </c>
      <c r="E10" s="407">
        <f>IF(ISNUMBER(D10/B10),D10/B10," - ")</f>
        <v>74</v>
      </c>
      <c r="F10" s="406">
        <f>IF(ISNUMBER(Datos!N10),Datos!N10," - ")</f>
        <v>31</v>
      </c>
      <c r="G10" s="407">
        <f>IF(ISNUMBER(F10/B10),F10/B10," - ")</f>
        <v>31</v>
      </c>
      <c r="H10" s="406">
        <f>IF(ISNUMBER(Datos!O10),Datos!O10," - ")</f>
        <v>30</v>
      </c>
      <c r="I10" s="407">
        <f t="shared" ref="I10:I12" si="2">IF(ISNUMBER(H10/B10),H10/B10," - ")</f>
        <v>30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1446</v>
      </c>
      <c r="E12" s="407">
        <f t="shared" si="0"/>
        <v>206.57142857142858</v>
      </c>
      <c r="F12" s="406">
        <f>IF(ISNUMBER(Datos!N12),Datos!N12," - ")</f>
        <v>3230</v>
      </c>
      <c r="G12" s="407">
        <f t="shared" si="1"/>
        <v>461.42857142857144</v>
      </c>
      <c r="H12" s="406">
        <f>IF(ISNUMBER(Datos!O12),Datos!O12," - ")</f>
        <v>3292</v>
      </c>
      <c r="I12" s="407">
        <f t="shared" si="2"/>
        <v>470.28571428571428</v>
      </c>
    </row>
    <row r="13" spans="1:9" ht="14.25" thickTop="1" thickBot="1">
      <c r="A13" s="851" t="str">
        <f>Datos!A13</f>
        <v>TOTAL</v>
      </c>
      <c r="B13" s="852">
        <f>Datos!AO13</f>
        <v>8</v>
      </c>
      <c r="C13" s="854">
        <f>Datos!AR13</f>
        <v>7</v>
      </c>
      <c r="D13" s="852">
        <f>SUBTOTAL(9,D9:D12)</f>
        <v>1520</v>
      </c>
      <c r="E13" s="853">
        <f t="shared" si="0"/>
        <v>190</v>
      </c>
      <c r="F13" s="852">
        <f>SUBTOTAL(9,F9:F12)</f>
        <v>3261</v>
      </c>
      <c r="G13" s="853">
        <f t="shared" si="1"/>
        <v>407.625</v>
      </c>
      <c r="H13" s="852">
        <f>SUBTOTAL(9,H9:H12)</f>
        <v>3322</v>
      </c>
      <c r="I13" s="853">
        <f>IF(ISNUMBER(H13/B13),H13/B13," - ")</f>
        <v>415.25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875</v>
      </c>
      <c r="E16" s="407">
        <f t="shared" si="3"/>
        <v>125</v>
      </c>
      <c r="F16" s="406">
        <f>IF(ISNUMBER(Datos!N16),Datos!N16," - ")</f>
        <v>5072</v>
      </c>
      <c r="G16" s="407">
        <f t="shared" si="4"/>
        <v>724.57142857142856</v>
      </c>
      <c r="H16" s="406">
        <f>IF(ISNUMBER(Datos!O16),Datos!O16," - ")</f>
        <v>10</v>
      </c>
      <c r="I16" s="407">
        <f t="shared" si="5"/>
        <v>1.4285714285714286</v>
      </c>
    </row>
    <row r="17" spans="1:9" ht="13.5" thickBot="1">
      <c r="A17" s="405" t="str">
        <f>Datos!A17</f>
        <v>Jdos. Violencia contra la mujer</v>
      </c>
      <c r="B17" s="430">
        <f>Datos!AO17</f>
        <v>1</v>
      </c>
      <c r="C17" s="431">
        <f>Datos!AQ17</f>
        <v>0</v>
      </c>
      <c r="D17" s="406">
        <f>IF(ISNUMBER(Datos!M17),Datos!M17," - ")</f>
        <v>116</v>
      </c>
      <c r="E17" s="407">
        <f>IF(ISNUMBER(D17/B17),D17/B17," - ")</f>
        <v>116</v>
      </c>
      <c r="F17" s="406">
        <f>IF(ISNUMBER(Datos!N17),Datos!N17," - ")</f>
        <v>886</v>
      </c>
      <c r="G17" s="407">
        <f>IF(ISNUMBER(F17/B17),F17/B17," - ")</f>
        <v>886</v>
      </c>
      <c r="H17" s="406">
        <f>IF(ISNUMBER(Datos!O17),Datos!O17," - ")</f>
        <v>0</v>
      </c>
      <c r="I17" s="407">
        <f t="shared" si="5"/>
        <v>0</v>
      </c>
    </row>
    <row r="18" spans="1:9" ht="14.25" thickTop="1" thickBot="1">
      <c r="A18" s="851" t="str">
        <f>Datos!A18</f>
        <v>TOTAL</v>
      </c>
      <c r="B18" s="852">
        <f>Datos!AO18</f>
        <v>8</v>
      </c>
      <c r="C18" s="854">
        <f>Datos!AR18</f>
        <v>7</v>
      </c>
      <c r="D18" s="852">
        <f>SUBTOTAL(9,D15:D17)</f>
        <v>991</v>
      </c>
      <c r="E18" s="853">
        <f t="shared" si="3"/>
        <v>123.875</v>
      </c>
      <c r="F18" s="852">
        <f>SUBTOTAL(9,F15:F17)</f>
        <v>5958</v>
      </c>
      <c r="G18" s="853">
        <f t="shared" si="4"/>
        <v>744.75</v>
      </c>
      <c r="H18" s="852">
        <f>SUBTOTAL(9,H15:H17)</f>
        <v>10</v>
      </c>
      <c r="I18" s="853">
        <f>IF(ISNUMBER(H18/B18),H18/B18," - ")</f>
        <v>1.25</v>
      </c>
    </row>
    <row r="19" spans="1:9" ht="14.25" thickTop="1" thickBot="1">
      <c r="A19" s="796" t="str">
        <f>Datos!A19</f>
        <v>TOTAL JURISDICCIONES</v>
      </c>
      <c r="B19" s="797">
        <f>Datos!AP19</f>
        <v>7</v>
      </c>
      <c r="C19" s="797">
        <f>Datos!AR19</f>
        <v>7</v>
      </c>
      <c r="D19" s="797">
        <f>SUBTOTAL(9,D8:D18)</f>
        <v>2511</v>
      </c>
      <c r="E19" s="798">
        <f>IF(ISNUMBER(D19/B19),D19/B19," - ")</f>
        <v>358.71428571428572</v>
      </c>
      <c r="F19" s="797">
        <f>SUBTOTAL(9,F8:F18)</f>
        <v>9219</v>
      </c>
      <c r="G19" s="798">
        <f>IF(ISNUMBER(F19/B19),F19/B19," - ")</f>
        <v>1317</v>
      </c>
      <c r="H19" s="797">
        <f>SUBTOTAL(9,H8:H18)</f>
        <v>3332</v>
      </c>
      <c r="I19" s="798">
        <f>IF(ISNUMBER(H19/B19),H19/B19," - ")</f>
        <v>476</v>
      </c>
    </row>
    <row r="22" spans="1:9">
      <c r="A22" s="394" t="str">
        <f>Criterios!A4</f>
        <v>Fecha Informe: 03 may. 2024</v>
      </c>
    </row>
    <row r="27" spans="1:9">
      <c r="A27" s="417"/>
    </row>
  </sheetData>
  <sheetProtection algorithmName="SHA-512" hashValue="2Iw5g9hShvZerSEzRk56H40DNbkAZ8CYSL741q3kk85lisMVyYAKuLbfDPvJfHjZCP3xNLfeDXzEOKJ5C/Jpow==" saltValue="n2jLfcQ0vVDS+ZqJYqo4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ILLESCAS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36</v>
      </c>
      <c r="C10" s="437">
        <f>IF(ISNUMBER(Datos!Q10),Datos!Q10," - ")</f>
        <v>17</v>
      </c>
      <c r="D10" s="411">
        <f>IF(ISNUMBER(Datos!R10),Datos!R10," - ")</f>
        <v>228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2157</v>
      </c>
      <c r="C12" s="437">
        <f>IF(ISNUMBER(Datos!Q12),Datos!Q12," - ")</f>
        <v>747</v>
      </c>
      <c r="D12" s="411">
        <f>IF(ISNUMBER(Datos!R12),Datos!R12," - ")</f>
        <v>16959</v>
      </c>
    </row>
    <row r="13" spans="1:4" ht="14.25" thickTop="1" thickBot="1">
      <c r="A13" s="851" t="str">
        <f>Datos!A13</f>
        <v>TOTAL</v>
      </c>
      <c r="B13" s="852">
        <f>SUBTOTAL(9,B9:B12)</f>
        <v>2193</v>
      </c>
      <c r="C13" s="856">
        <f>SUBTOTAL(9,C9:C12)</f>
        <v>764</v>
      </c>
      <c r="D13" s="854">
        <f>SUBTOTAL(9,D9:D12)</f>
        <v>17187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189</v>
      </c>
      <c r="C16" s="437">
        <f>IF(ISNUMBER(Datos!Q16),Datos!Q16," - ")</f>
        <v>57</v>
      </c>
      <c r="D16" s="411">
        <f>IF(ISNUMBER(Datos!R16),Datos!R16," - ")</f>
        <v>465</v>
      </c>
    </row>
    <row r="17" spans="1:4" ht="13.5" thickBot="1">
      <c r="A17" s="405" t="str">
        <f>Datos!A17</f>
        <v>Jdos. Violencia contra la mujer</v>
      </c>
      <c r="B17" s="436">
        <f>IF(ISNUMBER(Datos!P17),Datos!P17," - ")</f>
        <v>10</v>
      </c>
      <c r="C17" s="437">
        <f>IF(ISNUMBER(Datos!Q17),Datos!Q17," - ")</f>
        <v>2</v>
      </c>
      <c r="D17" s="411">
        <f>IF(ISNUMBER(Datos!R17),Datos!R17," - ")</f>
        <v>12</v>
      </c>
    </row>
    <row r="18" spans="1:4" ht="14.25" thickTop="1" thickBot="1">
      <c r="A18" s="851" t="str">
        <f>Datos!A18</f>
        <v>TOTAL</v>
      </c>
      <c r="B18" s="852">
        <f>SUBTOTAL(9,B15:B17)</f>
        <v>199</v>
      </c>
      <c r="C18" s="856">
        <f>SUBTOTAL(9,C15:C17)</f>
        <v>59</v>
      </c>
      <c r="D18" s="854">
        <f>SUBTOTAL(9,D15:D17)</f>
        <v>477</v>
      </c>
    </row>
    <row r="19" spans="1:4" ht="16.5" customHeight="1" thickTop="1" thickBot="1">
      <c r="A19" s="796" t="str">
        <f>Datos!A19</f>
        <v>TOTAL JURISDICCIONES</v>
      </c>
      <c r="B19" s="801">
        <f>SUBTOTAL(9,B8:B18)</f>
        <v>2392</v>
      </c>
      <c r="C19" s="802">
        <f>SUBTOTAL(9,C8:C18)</f>
        <v>823</v>
      </c>
      <c r="D19" s="803">
        <f>SUBTOTAL(9,D8:D18)</f>
        <v>17664</v>
      </c>
    </row>
    <row r="20" spans="1:4" ht="7.5" customHeight="1"/>
    <row r="21" spans="1:4" ht="6" customHeight="1"/>
    <row r="22" spans="1:4">
      <c r="A22" s="394" t="str">
        <f>Criterios!A4</f>
        <v>Fecha Informe: 03 may. 2024</v>
      </c>
    </row>
    <row r="27" spans="1:4">
      <c r="A27" s="417"/>
    </row>
  </sheetData>
  <sheetProtection algorithmName="SHA-512" hashValue="KpNlZ4XsVc9iAkbA7ZM7+/D4CM1APWgX7haelUL7F+c8hDblmAyvSoZi8XhUg5DTzujlNYtpgxNU1KcPtpcd8w==" saltValue="slz7jveORO43Vs6fN4Oj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ILLESCAS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7.3643410852713184E-2</v>
      </c>
      <c r="C10" s="459">
        <f>IF(ISNUMBER((Datos!J10-Datos!T10)/Datos!T10),(Datos!J10-Datos!T10)/Datos!T10," - ")</f>
        <v>0.16867469879518071</v>
      </c>
      <c r="D10" s="459">
        <f>IF(ISNUMBER((Datos!K10-Datos!U10)/Datos!U10),(Datos!K10-Datos!U10)/Datos!U10," - ")</f>
        <v>0</v>
      </c>
      <c r="E10" s="459">
        <f>IF(ISNUMBER((Datos!L10-Datos!V10)/Datos!V10),(Datos!L10-Datos!V10)/Datos!V10," - ")</f>
        <v>0.23104693140794225</v>
      </c>
      <c r="F10" s="459">
        <f>IF(ISNUMBER((Datos!M10-Datos!W10)/Datos!W10),(Datos!M10-Datos!W10)/Datos!W10," - ")</f>
        <v>0.25423728813559321</v>
      </c>
      <c r="G10" s="460">
        <f>IF(ISNUMBER((Datos!N10-Datos!X10)/Datos!X10),(Datos!N10-Datos!X10)/Datos!X10," - ")</f>
        <v>0</v>
      </c>
      <c r="H10" s="458">
        <f>IF(ISNUMBER(((NºAsuntos!G10/NºAsuntos!E10)-Datos!BD10)/Datos!BD10),((NºAsuntos!G10/NºAsuntos!E10)-Datos!BD10)/Datos!BD10," - ")</f>
        <v>-0.14432989690721651</v>
      </c>
      <c r="I10" s="459">
        <f>IF(ISNUMBER(((NºAsuntos!I10/NºAsuntos!G10)-Datos!BE10)/Datos!BE10),((NºAsuntos!I10/NºAsuntos!G10)-Datos!BE10)/Datos!BE10," - ")</f>
        <v>0.23104693140794225</v>
      </c>
      <c r="J10" s="464">
        <f>IF(ISNUMBER((('Resol  Asuntos'!D10/NºAsuntos!G10)-Datos!BF10)/Datos!BF10),(('Resol  Asuntos'!D10/NºAsuntos!G10)-Datos!BF10)/Datos!BF10," - ")</f>
        <v>0.25423728813559315</v>
      </c>
      <c r="K10" s="465">
        <f>IF(ISNUMBER((((NºAsuntos!C10+NºAsuntos!E10)/NºAsuntos!G10)-Datos!BG10)/Datos!BG10),(((NºAsuntos!C10+NºAsuntos!E10)/NºAsuntos!G10)-Datos!BG10)/Datos!BG10," - ")</f>
        <v>0.1108490566037736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0.22285314929675898</v>
      </c>
      <c r="C12" s="459">
        <f>IF(ISNUMBER(
   IF(J_V="SI",(Datos!J12-Datos!T12)/Datos!T12,(Datos!J12+Datos!Z12-(Datos!T12+Datos!AH12))/(Datos!T12+Datos!AH12))
     ),IF(J_V="SI",(Datos!J12-Datos!T12)/Datos!T12,(Datos!J12+Datos!Z12-(Datos!T12+Datos!AH12))/(Datos!T12+Datos!AH12))," - ")</f>
        <v>0.12136836886465047</v>
      </c>
      <c r="D12" s="459">
        <f>IF(ISNUMBER(
   IF(J_V="SI",(Datos!K12-Datos!U12)/Datos!U12,(Datos!K12+Datos!AA12-(Datos!U12+Datos!AI12))/(Datos!U12+Datos!AI12))
     ),IF(J_V="SI",(Datos!K12-Datos!U12)/Datos!U12,(Datos!K12+Datos!AA12-(Datos!U12+Datos!AI12))/(Datos!U12+Datos!AI12))," - ")</f>
        <v>4.9045252419565789E-2</v>
      </c>
      <c r="E12" s="459">
        <f>IF(ISNUMBER(
   IF(J_V="SI",(Datos!L12-Datos!V12)/Datos!V12,(Datos!L12+Datos!AB12-(Datos!V12+Datos!AJ12))/(Datos!V12+Datos!AJ12))
     ),IF(J_V="SI",(Datos!L12-Datos!V12)/Datos!V12,(Datos!L12+Datos!AB12-(Datos!V12+Datos!AJ12))/(Datos!V12+Datos!AJ12))," - ")</f>
        <v>0.21767395342191742</v>
      </c>
      <c r="F12" s="459">
        <f>IF(ISNUMBER((Datos!M12-Datos!W12)/Datos!W12),(Datos!M12-Datos!W12)/Datos!W12," - ")</f>
        <v>9.2145015105740177E-2</v>
      </c>
      <c r="G12" s="460">
        <f>IF(ISNUMBER((Datos!N12-Datos!X12)/Datos!X12),(Datos!N12-Datos!X12)/Datos!X12," - ")</f>
        <v>0.13253856942496495</v>
      </c>
      <c r="H12" s="458">
        <f>IF(ISNUMBER(((NºAsuntos!G12/NºAsuntos!E12)-Datos!BD12)/Datos!BD12),((NºAsuntos!G12/NºAsuntos!E12)-Datos!BD12)/Datos!BD12," - ")</f>
        <v>-6.4495413329974285E-2</v>
      </c>
      <c r="I12" s="459">
        <f>IF(ISNUMBER(((NºAsuntos!I12/NºAsuntos!G12)-Datos!BE12)/Datos!BE12),((NºAsuntos!I12/NºAsuntos!G12)-Datos!BE12)/Datos!BE12," - ")</f>
        <v>0.1607449255534199</v>
      </c>
      <c r="J12" s="464">
        <f>IF(ISNUMBER((('Resol  Asuntos'!D12/NºAsuntos!G12)-Datos!BF12)/Datos!BF12),(('Resol  Asuntos'!D12/NºAsuntos!G12)-Datos!BF12)/Datos!BF12," - ")</f>
        <v>-0.51669137098566476</v>
      </c>
      <c r="K12" s="465">
        <f>IF(ISNUMBER((((NºAsuntos!C12+NºAsuntos!E12)/NºAsuntos!G12)-Datos!BG12)/Datos!BG12),(((NºAsuntos!C12+NºAsuntos!E12)/NºAsuntos!G12)-Datos!BG12)/Datos!BG12," - ")</f>
        <v>0.12037154790799359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0.21956428876548484</v>
      </c>
      <c r="C13" s="858">
        <f>IF(ISNUMBER(
   IF(J_V="SI",(Datos!J13-Datos!T13)/Datos!T13,(Datos!J13+Datos!Z13-(Datos!T13+Datos!AH13))/(Datos!T13+Datos!AH13))
     ),IF(J_V="SI",(Datos!J13-Datos!T13)/Datos!T13,(Datos!J13+Datos!Z13-(Datos!T13+Datos!AH13))/(Datos!T13+Datos!AH13))," - ")</f>
        <v>0.12213442590966735</v>
      </c>
      <c r="D13" s="858">
        <f>IF(ISNUMBER(
   IF(J_V="SI",(Datos!K13-Datos!U13)/Datos!U13,(Datos!K13+Datos!AA13-(Datos!U13+Datos!AI13))/(Datos!U13+Datos!AI13))
     ),IF(J_V="SI",(Datos!K13-Datos!U13)/Datos!U13,(Datos!K13+Datos!AA13-(Datos!U13+Datos!AI13))/(Datos!U13+Datos!AI13))," - ")</f>
        <v>4.8225308641975308E-2</v>
      </c>
      <c r="E13" s="858">
        <f>IF(ISNUMBER(
   IF(J_V="SI",(Datos!L13-Datos!V13)/Datos!V13,(Datos!L13+Datos!AB13-(Datos!V13+Datos!AJ13))/(Datos!V13+Datos!AJ13))
     ),IF(J_V="SI",(Datos!L13-Datos!V13)/Datos!V13,(Datos!L13+Datos!AB13-(Datos!V13+Datos!AJ13))/(Datos!V13+Datos!AJ13))," - ")</f>
        <v>0.21793345008756568</v>
      </c>
      <c r="F13" s="859">
        <f>IF(ISNUMBER((Datos!M13-Datos!W13)/Datos!W13),(Datos!M13-Datos!W13)/Datos!W13," - ")</f>
        <v>9.9060014461315973E-2</v>
      </c>
      <c r="G13" s="860">
        <f>IF(ISNUMBER((Datos!N13-Datos!X13)/Datos!X13),(Datos!N13-Datos!X13)/Datos!X13," - ")</f>
        <v>0.13111342351716962</v>
      </c>
      <c r="H13" s="860">
        <f>IF(ISNUMBER(((NºAsuntos!G13/NºAsuntos!E13)-Datos!BD13)/Datos!BD13),((NºAsuntos!G13/NºAsuntos!E13)-Datos!BD13)/Datos!BD13," - ")</f>
        <v>-6.5864762332531676E-2</v>
      </c>
      <c r="I13" s="860">
        <f>IF(ISNUMBER(((NºAsuntos!I13/NºAsuntos!G13)-Datos!BE13)/Datos!BE13),((NºAsuntos!I13/NºAsuntos!G13)-Datos!BE13)/Datos!BE13," - ")</f>
        <v>0.16190044263046394</v>
      </c>
      <c r="J13" s="860">
        <f>IF(ISNUMBER((('Resol  Asuntos'!D13/NºAsuntos!G13)-Datos!BF13)/Datos!BF13),(('Resol  Asuntos'!D13/NºAsuntos!G13)-Datos!BF13)/Datos!BF13," - ")</f>
        <v>-0.50186536239439017</v>
      </c>
      <c r="K13" s="860">
        <f>IF(ISNUMBER((((NºAsuntos!C13+NºAsuntos!E13)/NºAsuntos!G13)-Datos!BG13)/Datos!BG13),(((NºAsuntos!C13+NºAsuntos!E13)/NºAsuntos!G13)-Datos!BG13)/Datos!BG13," - ")</f>
        <v>0.12006017589433225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0.18129218900675023</v>
      </c>
      <c r="C16" s="459">
        <f>IF(ISNUMBER(
   IF(D_I="SI",(Datos!J16-Datos!T16)/Datos!T16,(Datos!J16+Datos!AD16-(Datos!T16+Datos!AL16))/(Datos!T16+Datos!AL16))
     ),IF(D_I="SI",(Datos!J16-Datos!T16)/Datos!T16,(Datos!J16+Datos!AD16-(Datos!T16+Datos!AL16))/(Datos!T16+Datos!AL16))," - ")</f>
        <v>-2.3185239135712552E-2</v>
      </c>
      <c r="D16" s="459">
        <f>IF(ISNUMBER(
   IF(D_I="SI",(Datos!K16-Datos!U16)/Datos!U16,(Datos!K16+Datos!AE16-(Datos!U16+Datos!AM16))/(Datos!U16+Datos!AM16))
     ),IF(D_I="SI",(Datos!K16-Datos!U16)/Datos!U16,(Datos!K16+Datos!AE16-(Datos!U16+Datos!AM16))/(Datos!U16+Datos!AM16))," - ")</f>
        <v>0.18618894503138878</v>
      </c>
      <c r="E16" s="459">
        <f>IF(ISNUMBER(
   IF(D_I="SI",(Datos!L16-Datos!V16)/Datos!V16,(Datos!L16+Datos!AF16-(Datos!V16+Datos!AN16))/(Datos!V16+Datos!AN16))
     ),IF(D_I="SI",(Datos!L16-Datos!V16)/Datos!V16,(Datos!L16+Datos!AF16-(Datos!V16+Datos!AN16))/(Datos!V16+Datos!AN16))," - ")</f>
        <v>-7.6734693877551019E-3</v>
      </c>
      <c r="F16" s="459">
        <f>IF(ISNUMBER((Datos!M16-Datos!W16)/Datos!W16),(Datos!M16-Datos!W16)/Datos!W16," - ")</f>
        <v>0.23762376237623761</v>
      </c>
      <c r="G16" s="460">
        <f>IF(ISNUMBER((Datos!N16-Datos!X16)/Datos!X16),(Datos!N16-Datos!X16)/Datos!X16," - ")</f>
        <v>0.1203887784404683</v>
      </c>
      <c r="H16" s="458">
        <f>IF(ISNUMBER(((NºAsuntos!G16/NºAsuntos!E16)-Datos!BD16)/Datos!BD16),((NºAsuntos!G16/NºAsuntos!E16)-Datos!BD16)/Datos!BD16," - ")</f>
        <v>0.21434379634256009</v>
      </c>
      <c r="I16" s="459">
        <f>IF(ISNUMBER(((NºAsuntos!I16/NºAsuntos!G16)-Datos!BE16)/Datos!BE16),((NºAsuntos!I16/NºAsuntos!G16)-Datos!BE16)/Datos!BE16," - ")</f>
        <v>-0.16343299710487008</v>
      </c>
      <c r="J16" s="464">
        <f>IF(ISNUMBER((('Resol  Asuntos'!D16/NºAsuntos!G16)-Datos!BF16)/Datos!BF16),(('Resol  Asuntos'!D16/NºAsuntos!G16)-Datos!BF16)/Datos!BF16," - ")</f>
        <v>4.3361403392178713E-2</v>
      </c>
      <c r="K16" s="465">
        <f>IF(ISNUMBER((((NºAsuntos!C16+NºAsuntos!E16)/NºAsuntos!G16)-Datos!BG16)/Datos!BG16),(((NºAsuntos!C16+NºAsuntos!E16)/NºAsuntos!G16)-Datos!BG16)/Datos!BG16," - ")</f>
        <v>-0.10992279001935809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0.12135176651305683</v>
      </c>
      <c r="C17" s="459">
        <f>IF(ISNUMBER(
   IF(D_I="SI",(Datos!J17-Datos!T17)/Datos!T17,(Datos!J17+Datos!AD17-(Datos!T17+Datos!AL17))/(Datos!T17+Datos!AL17))
     ),IF(D_I="SI",(Datos!J17-Datos!T17)/Datos!T17,(Datos!J17+Datos!AD17-(Datos!T17+Datos!AL17))/(Datos!T17+Datos!AL17))," - ")</f>
        <v>0.18312387791741472</v>
      </c>
      <c r="D17" s="459">
        <f>IF(ISNUMBER(
   IF(D_I="SI",(Datos!K17-Datos!U17)/Datos!U17,(Datos!K17+Datos!AE17-(Datos!U17+Datos!AM17))/(Datos!U17+Datos!AM17))
     ),IF(D_I="SI",(Datos!K17-Datos!U17)/Datos!U17,(Datos!K17+Datos!AE17-(Datos!U17+Datos!AM17))/(Datos!U17+Datos!AM17))," - ")</f>
        <v>8.2046332046332049E-2</v>
      </c>
      <c r="E17" s="459">
        <f>IF(ISNUMBER(
   IF(D_I="SI",(Datos!L17-Datos!V17)/Datos!V17,(Datos!L17+Datos!AF17-(Datos!V17+Datos!AN17))/(Datos!V17+Datos!AN17))
     ),IF(D_I="SI",(Datos!L17-Datos!V17)/Datos!V17,(Datos!L17+Datos!AF17-(Datos!V17+Datos!AN17))/(Datos!V17+Datos!AN17))," - ")</f>
        <v>0.26986301369863014</v>
      </c>
      <c r="F17" s="459">
        <f>IF(ISNUMBER((Datos!M17-Datos!W17)/Datos!W17),(Datos!M17-Datos!W17)/Datos!W17," - ")</f>
        <v>0.34883720930232559</v>
      </c>
      <c r="G17" s="460">
        <f>IF(ISNUMBER((Datos!N17-Datos!X17)/Datos!X17),(Datos!N17-Datos!X17)/Datos!X17," - ")</f>
        <v>2.5462962962962962E-2</v>
      </c>
      <c r="H17" s="458">
        <f>IF(ISNUMBER(((NºAsuntos!G17/NºAsuntos!E17)-Datos!BD17)/Datos!BD17),((NºAsuntos!G17/NºAsuntos!E17)-Datos!BD17)/Datos!BD17," - ")</f>
        <v>-8.5432766388760309E-2</v>
      </c>
      <c r="I17" s="459">
        <f>IF(ISNUMBER(((NºAsuntos!I17/NºAsuntos!G17)-Datos!BE17)/Datos!BE17),((NºAsuntos!I17/NºAsuntos!G17)-Datos!BE17)/Datos!BE17," - ")</f>
        <v>0.17357545244583469</v>
      </c>
      <c r="J17" s="464">
        <f>IF(ISNUMBER((('Resol  Asuntos'!D17/NºAsuntos!G17)-Datos!BF17)/Datos!BF17),(('Resol  Asuntos'!D17/NºAsuntos!G17)-Datos!BF17)/Datos!BF17," - ")</f>
        <v>0.24656141733916975</v>
      </c>
      <c r="K17" s="465">
        <f>IF(ISNUMBER((((NºAsuntos!C17+NºAsuntos!E17)/NºAsuntos!G17)-Datos!BG17)/Datos!BG17),(((NºAsuntos!C17+NºAsuntos!E17)/NºAsuntos!G17)-Datos!BG17)/Datos!BG17," - ")</f>
        <v>7.2356985997427417E-2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0.17460589444825222</v>
      </c>
      <c r="C18" s="858">
        <f>IF(ISNUMBER(
   IF(Criterios!B14="SI",(Datos!J18-Datos!T18)/Datos!T18,(Datos!J18+Datos!AD18-(Datos!T18+Datos!AL18))/(Datos!T18+Datos!AL18))
     ),IF(Criterios!B14="SI",(Datos!J18-Datos!T18)/Datos!T18,(Datos!J18+Datos!AD18-(Datos!T18+Datos!AL18))/(Datos!T18+Datos!AL18))," - ")</f>
        <v>1.390076988879384E-3</v>
      </c>
      <c r="D18" s="858">
        <f>IF(ISNUMBER(
   IF(Criterios!B14="SI",(Datos!K18-Datos!U18)/Datos!U18,(Datos!K18+Datos!AE18-(Datos!U18+Datos!AM18))/(Datos!U18+Datos!AM18))
     ),IF(Criterios!B14="SI",(Datos!K18-Datos!U18)/Datos!U18,(Datos!K18+Datos!AE18-(Datos!U18+Datos!AM18))/(Datos!U18+Datos!AM18))," - ")</f>
        <v>0.17193075194925334</v>
      </c>
      <c r="E18" s="858">
        <f>IF(ISNUMBER(
   IF(Criterios!B14="SI",(Datos!L18-Datos!V18)/Datos!V18,(Datos!L18+Datos!AF18-(Datos!V18+Datos!AN18))/(Datos!V18+Datos!AN18))
     ),IF(Criterios!B14="SI",(Datos!L18-Datos!V18)/Datos!V18,(Datos!L18+Datos!AF18-(Datos!V18+Datos!AN18))/(Datos!V18+Datos!AN18))," - ")</f>
        <v>2.1881838074398249E-2</v>
      </c>
      <c r="F18" s="859">
        <f>IF(ISNUMBER((Datos!M18-Datos!W18)/Datos!W18),(Datos!M18-Datos!W18)/Datos!W18," - ")</f>
        <v>0.24968474148802017</v>
      </c>
      <c r="G18" s="860">
        <f>IF(ISNUMBER((Datos!N18-Datos!X18)/Datos!X18),(Datos!N18-Datos!X18)/Datos!X18," - ")</f>
        <v>0.10517529215358931</v>
      </c>
      <c r="H18" s="860">
        <f>IF(ISNUMBER(((NºAsuntos!G18/NºAsuntos!E18)-Datos!BD18)/Datos!BD18),((NºAsuntos!G18/NºAsuntos!E18)-Datos!BD18)/Datos!BD18," - ")</f>
        <v>0.17030393937313576</v>
      </c>
      <c r="I18" s="860">
        <f>IF(ISNUMBER(((NºAsuntos!I18/NºAsuntos!G18)-Datos!BE18)/Datos!BE18),((NºAsuntos!I18/NºAsuntos!G18)-Datos!BE18)/Datos!BE18," - ")</f>
        <v>-0.12803564854431987</v>
      </c>
      <c r="J18" s="860">
        <f>IF(ISNUMBER((('Resol  Asuntos'!D18/NºAsuntos!G18)-Datos!BF18)/Datos!BF18),(('Resol  Asuntos'!D18/NºAsuntos!G18)-Datos!BF18)/Datos!BF18," - ")</f>
        <v>6.6346914618837294E-2</v>
      </c>
      <c r="K18" s="860">
        <f>IF(ISNUMBER((((NºAsuntos!C18+NºAsuntos!E18)/NºAsuntos!G18)-Datos!BG18)/Datos!BG18),(((NºAsuntos!C18+NºAsuntos!E18)/NºAsuntos!G18)-Datos!BG18)/Datos!BG18," - ")</f>
        <v>-8.8727402601274832E-2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0.20460635083518613</v>
      </c>
      <c r="C19" s="805">
        <f>IF(ISNUMBER(
   IF(J_V="SI",(Datos!J19-Datos!T19)/Datos!T19,(Datos!J19+Datos!Z19-(Datos!T19+Datos!AH19))/(Datos!T19+Datos!AH19))
     ),IF(J_V="SI",(Datos!J19-Datos!T19)/Datos!T19,(Datos!J19+Datos!Z19-(Datos!T19+Datos!AH19))/(Datos!T19+Datos!AH19))," - ")</f>
        <v>6.4530939141968072E-2</v>
      </c>
      <c r="D19" s="805">
        <f>IF(ISNUMBER(
   IF(J_V="SI",(Datos!K19-Datos!U19)/Datos!U19,(Datos!K19+Datos!AA19-(Datos!U19+Datos!AI19))/(Datos!U19+Datos!AI19))
     ),IF(J_V="SI",(Datos!K19-Datos!U19)/Datos!U19,(Datos!K19+Datos!AA19-(Datos!U19+Datos!AI19))/(Datos!U19+Datos!AI19))," - ")</f>
        <v>0.10923548197875252</v>
      </c>
      <c r="E19" s="805">
        <f>IF(ISNUMBER(
   IF(J_V="SI",(Datos!L19-Datos!V19)/Datos!V19,(Datos!L19+Datos!AB19-(Datos!V19+Datos!AJ19))/(Datos!V19+Datos!AJ19))
     ),IF(J_V="SI",(Datos!L19-Datos!V19)/Datos!V19,(Datos!L19+Datos!AB19-(Datos!V19+Datos!AJ19))/(Datos!V19+Datos!AJ19))," - ")</f>
        <v>0.15433033601514434</v>
      </c>
      <c r="F19" s="806">
        <f>IF(ISNUMBER((Datos!M19-Datos!W19)/Datos!W19),(Datos!M19-Datos!W19)/Datos!W19," - ")</f>
        <v>0.15395220588235295</v>
      </c>
      <c r="G19" s="807">
        <f>IF(ISNUMBER((Datos!N19-Datos!X19)/Datos!X19),(Datos!N19-Datos!X19)/Datos!X19," - ")</f>
        <v>0.11421319796954314</v>
      </c>
      <c r="H19" s="808">
        <f>IF(ISNUMBER((Tasas!B19-Datos!BD19)/Datos!BD19),(Tasas!B19-Datos!BD19)/Datos!BD19," - ")</f>
        <v>4.1994592353339279E-2</v>
      </c>
      <c r="I19" s="809">
        <f>IF(ISNUMBER((Tasas!C19-Datos!BE19)/Datos!BE19),(Tasas!C19-Datos!BE19)/Datos!BE19," - ")</f>
        <v>4.0653995268838339E-2</v>
      </c>
      <c r="J19" s="810">
        <f>IF(ISNUMBER((Tasas!D19-Datos!BF19)/Datos!BF19),(Tasas!D19-Datos!BF19)/Datos!BF19," - ")</f>
        <v>-0.38884413837056975</v>
      </c>
      <c r="K19" s="810">
        <f>IF(ISNUMBER((Tasas!E19-Datos!BG19)/Datos!BG19),(Tasas!E19-Datos!BG19)/Datos!BG19," - ")</f>
        <v>1.9333237002335839E-2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XIlBFid+NkrttAIZ/gMEphacJATpq+Sfl1dsse15PuzUPz5ohKNDGK1e518ffgfeT72UhAeukQxGInqZfnhAA==" saltValue="amgZllcFmfVVDFtww3d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ILLESCAS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0.67010309278350511</v>
      </c>
      <c r="C10" s="446">
        <f>IF(ISNUMBER(NºAsuntos!I10/NºAsuntos!G10),NºAsuntos!I10/NºAsuntos!G10," - ")</f>
        <v>2.6230769230769231</v>
      </c>
      <c r="D10" s="447">
        <f>IF(ISNUMBER('Resol  Asuntos'!D10/NºAsuntos!G10),'Resol  Asuntos'!D10/NºAsuntos!G10," - ")</f>
        <v>0.56923076923076921</v>
      </c>
      <c r="E10" s="448">
        <f>IF(ISNUMBER((NºAsuntos!C10+NºAsuntos!E10)/NºAsuntos!G10),(NºAsuntos!C10+NºAsuntos!E10)/NºAsuntos!G10," - ")</f>
        <v>3.6230769230769231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0.70925811300733932</v>
      </c>
      <c r="C12" s="446">
        <f>IF(ISNUMBER(NºAsuntos!I12/NºAsuntos!G12),NºAsuntos!I12/NºAsuntos!G12," - ")</f>
        <v>2.1250467522752774</v>
      </c>
      <c r="D12" s="447">
        <f>IF(ISNUMBER('Resol  Asuntos'!D12/NºAsuntos!G12),'Resol  Asuntos'!D12/NºAsuntos!G12," - ")</f>
        <v>0.18027677346964219</v>
      </c>
      <c r="E12" s="448">
        <f>IF(ISNUMBER((NºAsuntos!C12+NºAsuntos!E12)/NºAsuntos!G12),(NºAsuntos!C12+NºAsuntos!E12)/NºAsuntos!G12," - ")</f>
        <v>3.1550928811868846</v>
      </c>
      <c r="G12" s="466"/>
    </row>
    <row r="13" spans="1:7" ht="14.25" thickTop="1" thickBot="1">
      <c r="A13" s="851" t="str">
        <f>Datos!A13</f>
        <v>TOTAL</v>
      </c>
      <c r="B13" s="861">
        <f>IF(ISNUMBER(NºAsuntos!G13/NºAsuntos!E13),NºAsuntos!G13/NºAsuntos!E13," - ")</f>
        <v>0.7085977571068417</v>
      </c>
      <c r="C13" s="862">
        <f>IF(ISNUMBER(NºAsuntos!I13/NºAsuntos!G13),NºAsuntos!I13/NºAsuntos!G13," - ")</f>
        <v>2.1329898172003436</v>
      </c>
      <c r="D13" s="863">
        <f>IF(ISNUMBER('Resol  Asuntos'!D13/NºAsuntos!G13),'Resol  Asuntos'!D13/NºAsuntos!G13," - ")</f>
        <v>0.18648018648018649</v>
      </c>
      <c r="E13" s="864">
        <f>IF(ISNUMBER((NºAsuntos!C13+NºAsuntos!E13)/NºAsuntos!G13),(NºAsuntos!C13+NºAsuntos!E13)/NºAsuntos!G13," - ")</f>
        <v>3.16255674150411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0.96271902572387225</v>
      </c>
      <c r="C16" s="446">
        <f>IF(ISNUMBER(NºAsuntos!I16/NºAsuntos!G16),NºAsuntos!I16/NºAsuntos!G16," - ")</f>
        <v>0.78456176584484316</v>
      </c>
      <c r="D16" s="447">
        <f>IF(ISNUMBER('Resol  Asuntos'!D16/NºAsuntos!G16),'Resol  Asuntos'!D16/NºAsuntos!G16," - ")</f>
        <v>0.11294694720536982</v>
      </c>
      <c r="E16" s="448">
        <f>IF(ISNUMBER((NºAsuntos!C16+NºAsuntos!E16)/NºAsuntos!G16),(NºAsuntos!C16+NºAsuntos!E16)/NºAsuntos!G16," - ")</f>
        <v>1.8293532980508584</v>
      </c>
      <c r="G16" s="466"/>
    </row>
    <row r="17" spans="1:7" ht="13.5" thickBot="1">
      <c r="A17" s="405" t="str">
        <f>Datos!A17</f>
        <v>Jdos. Violencia contra la mujer</v>
      </c>
      <c r="B17" s="445">
        <f>IF(ISNUMBER(NºAsuntos!G17/NºAsuntos!E17),NºAsuntos!G17/NºAsuntos!E17," - ")</f>
        <v>0.85053110773899854</v>
      </c>
      <c r="C17" s="446">
        <f>IF(ISNUMBER(NºAsuntos!I17/NºAsuntos!G17),NºAsuntos!I17/NºAsuntos!G17," - ")</f>
        <v>0.8269402319357716</v>
      </c>
      <c r="D17" s="447">
        <f>IF(ISNUMBER('Resol  Asuntos'!D17/NºAsuntos!G17),'Resol  Asuntos'!D17/NºAsuntos!G17," - ")</f>
        <v>0.10347903657448707</v>
      </c>
      <c r="E17" s="448">
        <f>IF(ISNUMBER((NºAsuntos!C17+NºAsuntos!E17)/NºAsuntos!G17),(NºAsuntos!C17+NºAsuntos!E17)/NºAsuntos!G17," - ")</f>
        <v>1.8269402319357717</v>
      </c>
      <c r="G17" s="466"/>
    </row>
    <row r="18" spans="1:7" ht="14.25" thickTop="1" thickBot="1">
      <c r="A18" s="851" t="str">
        <f>Datos!A18</f>
        <v>TOTAL</v>
      </c>
      <c r="B18" s="861">
        <f>IF(ISNUMBER(NºAsuntos!G18/NºAsuntos!E18),NºAsuntos!G18/NºAsuntos!E18," - ")</f>
        <v>0.94693005872931124</v>
      </c>
      <c r="C18" s="862">
        <f>IF(ISNUMBER(NºAsuntos!I18/NºAsuntos!G18),NºAsuntos!I18/NºAsuntos!G18," - ")</f>
        <v>0.78991880920162383</v>
      </c>
      <c r="D18" s="865">
        <f>IF(ISNUMBER('Resol  Asuntos'!D18/NºAsuntos!G18),'Resol  Asuntos'!D18/NºAsuntos!G18," - ")</f>
        <v>0.11175011276499774</v>
      </c>
      <c r="E18" s="864">
        <f>IF(ISNUMBER((NºAsuntos!C18+NºAsuntos!E18)/NºAsuntos!G18),(NºAsuntos!C18+NºAsuntos!E18)/NºAsuntos!G18," - ")</f>
        <v>1.8290482634190348</v>
      </c>
      <c r="G18" s="466"/>
    </row>
    <row r="19" spans="1:7" ht="15.75" customHeight="1" thickTop="1" thickBot="1">
      <c r="A19" s="796" t="str">
        <f>Datos!A19</f>
        <v>TOTAL JURISDICCIONES</v>
      </c>
      <c r="B19" s="811">
        <f>IF(ISNUMBER(NºAsuntos!G19/NºAsuntos!E19),NºAsuntos!G19/NºAsuntos!E19," - ")</f>
        <v>0.81555491661874635</v>
      </c>
      <c r="C19" s="812">
        <f>IF(ISNUMBER(NºAsuntos!I19/NºAsuntos!G19),NºAsuntos!I19/NºAsuntos!G19," - ")</f>
        <v>1.4331629355426287</v>
      </c>
      <c r="D19" s="813">
        <f>IF(ISNUMBER('Resol  Asuntos'!D19/NºAsuntos!G19),'Resol  Asuntos'!D19/NºAsuntos!G19," - ")</f>
        <v>0.14754098360655737</v>
      </c>
      <c r="E19" s="814">
        <f>IF(ISNUMBER((NºAsuntos!C19+NºAsuntos!E19)/NºAsuntos!G19),(NºAsuntos!C19+NºAsuntos!E19)/NºAsuntos!G19," - ")</f>
        <v>2.4677125565544391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dVFiTKD3FWpKVhKB+lG9cGsRH67ce10QhcpekT+snIg7h2nTOjBRq7mwK0pfJIVKW8EZ4NVb2yBPJWEpqlwaQ==" saltValue="VnhrwZSAgl3B0W8livhJ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ILLESCAS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277</v>
      </c>
      <c r="G10" s="336">
        <f>IF(ISNUMBER(Datos!I10),Datos!I10," - ")</f>
        <v>277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130</v>
      </c>
      <c r="X10" s="229">
        <f>IF(ISNUMBER(Datos!Q10),Datos!Q10," - ")</f>
        <v>17</v>
      </c>
      <c r="Y10" s="337">
        <f t="shared" ref="Y10:Y12" si="0">SUM(W10:X10)</f>
        <v>147</v>
      </c>
      <c r="Z10" s="338" t="str">
        <f>IF(ISNUMBER(Datos!CC10),Datos!CC10," - ")</f>
        <v xml:space="preserve"> - </v>
      </c>
      <c r="AA10" s="335">
        <f>IF(ISNUMBER(Datos!L10),Datos!L10,"-")</f>
        <v>341</v>
      </c>
      <c r="AB10" s="337">
        <f>IF(ISNUMBER(Datos!R10),Datos!R10," - ")</f>
        <v>228</v>
      </c>
      <c r="AC10" s="337">
        <f t="shared" ref="AC10:AC12" si="1">IF(ISNUMBER(AA10+AB10),AA10+AB10," - ")</f>
        <v>569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74</v>
      </c>
      <c r="AJ10" s="234" t="str">
        <f>IF(ISNUMBER(Datos!BW10),Datos!BW10," - ")</f>
        <v xml:space="preserve"> - </v>
      </c>
      <c r="AK10" s="235" t="str">
        <f>IF(ISNUMBER(Datos!BX10),Datos!BX10," - ")</f>
        <v xml:space="preserve"> - </v>
      </c>
      <c r="AL10" s="246">
        <f>IF(ISNUMBER(NºAsuntos!G10/NºAsuntos!E10),NºAsuntos!G10/NºAsuntos!E10," - ")</f>
        <v>0.67010309278350511</v>
      </c>
      <c r="AM10" s="263">
        <f>IF(ISNUMBER(((NºAsuntos!I10/NºAsuntos!G10)*11)/factor_trimestre),((NºAsuntos!I10/NºAsuntos!G10)*11)/factor_trimestre," - ")</f>
        <v>28.853846153846153</v>
      </c>
      <c r="AN10" s="247">
        <f>IF(ISNUMBER('Resol  Asuntos'!D10/NºAsuntos!G10),'Resol  Asuntos'!D10/NºAsuntos!G10," - ")</f>
        <v>0.56923076923076921</v>
      </c>
      <c r="AO10" s="248">
        <f>IF(ISNUMBER((NºAsuntos!C10+NºAsuntos!E10)/NºAsuntos!G10),(NºAsuntos!C10+NºAsuntos!E10)/NºAsuntos!G10," - ")</f>
        <v>3.6230769230769231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2157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747</v>
      </c>
      <c r="Y12" s="337">
        <f t="shared" si="0"/>
        <v>747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16959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1446</v>
      </c>
      <c r="AJ12" s="232" t="str">
        <f>IF(ISNUMBER(Datos!BW12),Datos!BW12," - ")</f>
        <v xml:space="preserve"> - </v>
      </c>
      <c r="AK12" s="231" t="str">
        <f>IF(ISNUMBER(Datos!BX12),Datos!BX12," - ")</f>
        <v xml:space="preserve"> - </v>
      </c>
      <c r="AL12" s="246">
        <f>IF(ISNUMBER(NºAsuntos!G12/NºAsuntos!E12),NºAsuntos!G12/NºAsuntos!E12," - ")</f>
        <v>0.70925811300733932</v>
      </c>
      <c r="AM12" s="263">
        <f>IF(ISNUMBER(((NºAsuntos!I12/NºAsuntos!G12)*11)/factor_trimestre),((NºAsuntos!I12/NºAsuntos!G12)*11)/factor_trimestre," - ")</f>
        <v>23.375514275028053</v>
      </c>
      <c r="AN12" s="247">
        <f>IF(ISNUMBER('Resol  Asuntos'!D12/NºAsuntos!G12),'Resol  Asuntos'!D12/NºAsuntos!G12," - ")</f>
        <v>0.18027677346964219</v>
      </c>
      <c r="AO12" s="248">
        <f>IF(ISNUMBER((NºAsuntos!C12+NºAsuntos!E12)/NºAsuntos!G12),(NºAsuntos!C12+NºAsuntos!E12)/NºAsuntos!G12," - ")</f>
        <v>3.1550928811868846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277</v>
      </c>
      <c r="G13" s="869">
        <f t="shared" si="3"/>
        <v>277</v>
      </c>
      <c r="H13" s="868">
        <f t="shared" si="3"/>
        <v>0</v>
      </c>
      <c r="I13" s="870">
        <f t="shared" si="3"/>
        <v>0</v>
      </c>
      <c r="J13" s="870">
        <f t="shared" si="3"/>
        <v>0</v>
      </c>
      <c r="K13" s="870">
        <f t="shared" si="3"/>
        <v>0</v>
      </c>
      <c r="L13" s="870">
        <f t="shared" si="3"/>
        <v>2193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130</v>
      </c>
      <c r="X13" s="870">
        <f t="shared" si="4"/>
        <v>764</v>
      </c>
      <c r="Y13" s="871">
        <f t="shared" si="4"/>
        <v>894</v>
      </c>
      <c r="Z13" s="871">
        <f t="shared" si="4"/>
        <v>0</v>
      </c>
      <c r="AA13" s="871">
        <f t="shared" si="4"/>
        <v>341</v>
      </c>
      <c r="AB13" s="871">
        <f t="shared" si="4"/>
        <v>17187</v>
      </c>
      <c r="AC13" s="871">
        <f t="shared" si="4"/>
        <v>569</v>
      </c>
      <c r="AD13" s="871">
        <f t="shared" si="4"/>
        <v>0</v>
      </c>
      <c r="AE13" s="875">
        <f t="shared" si="4"/>
        <v>0</v>
      </c>
      <c r="AF13" s="868">
        <f t="shared" si="4"/>
        <v>0</v>
      </c>
      <c r="AG13" s="876">
        <f t="shared" si="4"/>
        <v>0</v>
      </c>
      <c r="AH13" s="873">
        <f t="shared" si="4"/>
        <v>0</v>
      </c>
      <c r="AI13" s="868">
        <f t="shared" si="4"/>
        <v>1520</v>
      </c>
      <c r="AJ13" s="870">
        <f t="shared" si="4"/>
        <v>0</v>
      </c>
      <c r="AK13" s="873">
        <f>SUBTOTAL(9,AK9:AK12)</f>
        <v>0</v>
      </c>
      <c r="AL13" s="877">
        <f>IF(ISNUMBER(NºAsuntos!G13/NºAsuntos!E13),NºAsuntos!G13/NºAsuntos!E13," - ")</f>
        <v>0.7085977571068417</v>
      </c>
      <c r="AM13" s="877">
        <f>IF(ISNUMBER(((NºAsuntos!I13/NºAsuntos!G13)*11)/factor_trimestre),((NºAsuntos!I13/NºAsuntos!G13)*11)/factor_trimestre," - ")</f>
        <v>23.462887989203779</v>
      </c>
      <c r="AN13" s="878">
        <f>IF(ISNUMBER('Resol  Asuntos'!D13/NºAsuntos!G13),'Resol  Asuntos'!D13/NºAsuntos!G13," - ")</f>
        <v>0.18648018648018649</v>
      </c>
      <c r="AO13" s="879">
        <f>IF(ISNUMBER((NºAsuntos!C13+NºAsuntos!E13)/NºAsuntos!G13),(NºAsuntos!C13+NºAsuntos!E13)/NºAsuntos!G13," - ")</f>
        <v>3.16255674150411</v>
      </c>
      <c r="AP13" s="880" t="str">
        <f t="shared" si="2"/>
        <v xml:space="preserve"> - </v>
      </c>
      <c r="AQ13" s="880">
        <f>IF(ISNUMBER((H13-W13+K13)/(F13)),(H13-W13+K13)/(F13)," - ")</f>
        <v>-0.46931407942238268</v>
      </c>
      <c r="AR13" s="881">
        <f>IF(ISNUMBER((Datos!P13-Datos!Q13)/(Datos!R13-Datos!P13+Datos!Q13)),(Datos!P13-Datos!Q13)/(Datos!R13-Datos!P13+Datos!Q13)," - ")</f>
        <v>9.0684096966620123E-2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5778</v>
      </c>
      <c r="G16" s="336">
        <f>IF(ISNUMBER(IF(D_I="SI",Datos!I16,Datos!I16+Datos!AC16)),IF(D_I="SI",Datos!I16,Datos!I16+Datos!AC16)," - ")</f>
        <v>6125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189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7747</v>
      </c>
      <c r="X16" s="229">
        <f>IF(ISNUMBER(Datos!Q16),Datos!Q16," - ")</f>
        <v>57</v>
      </c>
      <c r="Y16" s="337">
        <f t="shared" ref="Y16:Y17" si="7">SUM(W16:X16)</f>
        <v>7804</v>
      </c>
      <c r="Z16" s="338" t="str">
        <f>IF(ISNUMBER(Datos!CC16),Datos!CC16," - ")</f>
        <v xml:space="preserve"> - </v>
      </c>
      <c r="AA16" s="335">
        <f>IF(ISNUMBER(IF(D_I="SI",Datos!L16,Datos!L16+Datos!AF16)),IF(D_I="SI",Datos!L16,Datos!L16+Datos!AF16)," - ")</f>
        <v>6078</v>
      </c>
      <c r="AB16" s="337">
        <f>IF(ISNUMBER(Datos!R16),Datos!R16," - ")</f>
        <v>465</v>
      </c>
      <c r="AC16" s="337">
        <f t="shared" si="6"/>
        <v>6543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875</v>
      </c>
      <c r="AJ16" s="234" t="str">
        <f>IF(ISNUMBER(Datos!BW16),Datos!BW16," - ")</f>
        <v xml:space="preserve"> - </v>
      </c>
      <c r="AK16" s="235" t="str">
        <f>IF(ISNUMBER(Datos!BX16),Datos!BX16," - ")</f>
        <v xml:space="preserve"> - </v>
      </c>
      <c r="AL16" s="246">
        <f>IF(ISNUMBER(NºAsuntos!G16/NºAsuntos!E16),NºAsuntos!G16/NºAsuntos!E16," - ")</f>
        <v>0.96271902572387225</v>
      </c>
      <c r="AM16" s="263">
        <f>IF(ISNUMBER(((NºAsuntos!I16/NºAsuntos!G16)*11)/factor_trimestre),((NºAsuntos!I16/NºAsuntos!G16)*11)/factor_trimestre," - ")</f>
        <v>8.6301794242932743</v>
      </c>
      <c r="AN16" s="247">
        <f>IF(ISNUMBER('Resol  Asuntos'!D16/NºAsuntos!G16),'Resol  Asuntos'!D16/NºAsuntos!G16," - ")</f>
        <v>0.11294694720536982</v>
      </c>
      <c r="AO16" s="248">
        <f>IF(ISNUMBER((NºAsuntos!C16+NºAsuntos!E16)/NºAsuntos!G16),(NºAsuntos!C16+NºAsuntos!E16)/NºAsuntos!G16," - ")</f>
        <v>1.8293532980508584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730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1121</v>
      </c>
      <c r="X17" s="229">
        <f>IF(ISNUMBER(Datos!Q17),Datos!Q17," - ")</f>
        <v>2</v>
      </c>
      <c r="Y17" s="337">
        <f t="shared" si="7"/>
        <v>1123</v>
      </c>
      <c r="Z17" s="338" t="str">
        <f>IF(ISNUMBER(Datos!CC17),Datos!CC17," - ")</f>
        <v xml:space="preserve"> - </v>
      </c>
      <c r="AA17" s="335">
        <f>IF(ISNUMBER(Datos!L17),Datos!L17,"-")</f>
        <v>927</v>
      </c>
      <c r="AB17" s="337">
        <f>IF(ISNUMBER(Datos!R17),Datos!R17," - ")</f>
        <v>12</v>
      </c>
      <c r="AC17" s="337">
        <f t="shared" si="6"/>
        <v>939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116</v>
      </c>
      <c r="AJ17" s="234" t="str">
        <f>IF(ISNUMBER(Datos!BW17),Datos!BW17," - ")</f>
        <v xml:space="preserve"> - </v>
      </c>
      <c r="AK17" s="235" t="str">
        <f>IF(ISNUMBER(Datos!BX17),Datos!BX17," - ")</f>
        <v xml:space="preserve"> - </v>
      </c>
      <c r="AL17" s="246">
        <f>IF(ISNUMBER(NºAsuntos!G17/NºAsuntos!E17),NºAsuntos!G17/NºAsuntos!E17," - ")</f>
        <v>0.85053110773899854</v>
      </c>
      <c r="AM17" s="263">
        <f>IF(ISNUMBER(((NºAsuntos!I17/NºAsuntos!G17)*11)/factor_trimestre),((NºAsuntos!I17/NºAsuntos!G17)*11)/factor_trimestre," - ")</f>
        <v>9.0963425512934872</v>
      </c>
      <c r="AN17" s="247">
        <f>IF(ISNUMBER('Resol  Asuntos'!D17/NºAsuntos!G17),'Resol  Asuntos'!D17/NºAsuntos!G17," - ")</f>
        <v>0.10347903657448707</v>
      </c>
      <c r="AO17" s="248">
        <f>IF(ISNUMBER((NºAsuntos!C17+NºAsuntos!E17)/NºAsuntos!G17),(NºAsuntos!C17+NºAsuntos!E17)/NºAsuntos!G17," - ")</f>
        <v>1.8269402319357717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5778</v>
      </c>
      <c r="G18" s="869">
        <f>SUBTOTAL(9,G15:G17)</f>
        <v>6855</v>
      </c>
      <c r="H18" s="868">
        <f t="shared" ref="H18:O18" si="10">SUBTOTAL(9,H14:H17)</f>
        <v>0</v>
      </c>
      <c r="I18" s="870">
        <f t="shared" si="10"/>
        <v>0</v>
      </c>
      <c r="J18" s="870">
        <f t="shared" si="10"/>
        <v>0</v>
      </c>
      <c r="K18" s="870">
        <f t="shared" si="10"/>
        <v>0</v>
      </c>
      <c r="L18" s="870">
        <f t="shared" si="10"/>
        <v>199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8868</v>
      </c>
      <c r="X18" s="870">
        <f t="shared" si="11"/>
        <v>59</v>
      </c>
      <c r="Y18" s="871">
        <f t="shared" si="11"/>
        <v>8927</v>
      </c>
      <c r="Z18" s="871">
        <f t="shared" si="11"/>
        <v>0</v>
      </c>
      <c r="AA18" s="871">
        <f t="shared" si="11"/>
        <v>7005</v>
      </c>
      <c r="AB18" s="871">
        <f t="shared" si="11"/>
        <v>477</v>
      </c>
      <c r="AC18" s="871">
        <f t="shared" si="11"/>
        <v>7482</v>
      </c>
      <c r="AD18" s="871">
        <f t="shared" si="11"/>
        <v>0</v>
      </c>
      <c r="AE18" s="875">
        <f t="shared" si="11"/>
        <v>0</v>
      </c>
      <c r="AF18" s="868">
        <f t="shared" si="11"/>
        <v>0</v>
      </c>
      <c r="AG18" s="876">
        <f t="shared" si="11"/>
        <v>0</v>
      </c>
      <c r="AH18" s="873">
        <f t="shared" si="11"/>
        <v>0</v>
      </c>
      <c r="AI18" s="868">
        <f t="shared" si="11"/>
        <v>991</v>
      </c>
      <c r="AJ18" s="870">
        <f t="shared" si="11"/>
        <v>0</v>
      </c>
      <c r="AK18" s="873">
        <f t="shared" si="11"/>
        <v>0</v>
      </c>
      <c r="AL18" s="877">
        <f>IF(ISNUMBER(NºAsuntos!G18/NºAsuntos!E18),NºAsuntos!G18/NºAsuntos!E18," - ")</f>
        <v>0.94693005872931124</v>
      </c>
      <c r="AM18" s="877">
        <f>IF(ISNUMBER(((NºAsuntos!I18/NºAsuntos!G18)*11)/factor_trimestre),((NºAsuntos!I18/NºAsuntos!G18)*11)/factor_trimestre," - ")</f>
        <v>8.6891069012178619</v>
      </c>
      <c r="AN18" s="878">
        <f>IF(ISNUMBER('Resol  Asuntos'!D18/NºAsuntos!G18),'Resol  Asuntos'!D18/NºAsuntos!G18," - ")</f>
        <v>0.11175011276499774</v>
      </c>
      <c r="AO18" s="879">
        <f>IF(ISNUMBER((NºAsuntos!C18+NºAsuntos!E18)/NºAsuntos!G18),(NºAsuntos!C18+NºAsuntos!E18)/NºAsuntos!G18," - ")</f>
        <v>1.8290482634190348</v>
      </c>
      <c r="AP18" s="880" t="str">
        <f t="shared" si="2"/>
        <v xml:space="preserve"> - </v>
      </c>
      <c r="AQ18" s="880">
        <f>IF(ISNUMBER((H18-W18+K18)/(F18)),(H18-W18+K18)/(F18)," - ")</f>
        <v>-1.5347871235721704</v>
      </c>
      <c r="AR18" s="881">
        <f>IF(ISNUMBER((Datos!P18-Datos!Q18)/(Datos!R18-Datos!P18+Datos!Q18)),(Datos!P18-Datos!Q18)/(Datos!R18-Datos!P18+Datos!Q18)," - ")</f>
        <v>0.41543026706231456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6055</v>
      </c>
      <c r="G19" s="824">
        <f t="shared" si="13"/>
        <v>7132</v>
      </c>
      <c r="H19" s="823">
        <f t="shared" si="13"/>
        <v>0</v>
      </c>
      <c r="I19" s="825">
        <f t="shared" si="13"/>
        <v>0</v>
      </c>
      <c r="J19" s="825">
        <f t="shared" si="13"/>
        <v>0</v>
      </c>
      <c r="K19" s="884">
        <f t="shared" si="13"/>
        <v>0</v>
      </c>
      <c r="L19" s="825">
        <f t="shared" si="13"/>
        <v>2392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8998</v>
      </c>
      <c r="X19" s="824">
        <f t="shared" si="14"/>
        <v>823</v>
      </c>
      <c r="Y19" s="831">
        <f t="shared" si="14"/>
        <v>9821</v>
      </c>
      <c r="Z19" s="831">
        <f t="shared" si="14"/>
        <v>0</v>
      </c>
      <c r="AA19" s="831">
        <f t="shared" si="14"/>
        <v>7346</v>
      </c>
      <c r="AB19" s="831">
        <f t="shared" si="14"/>
        <v>17664</v>
      </c>
      <c r="AC19" s="831">
        <f t="shared" si="14"/>
        <v>8051</v>
      </c>
      <c r="AD19" s="831">
        <f t="shared" si="14"/>
        <v>0</v>
      </c>
      <c r="AE19" s="833">
        <f t="shared" si="14"/>
        <v>0</v>
      </c>
      <c r="AF19" s="834">
        <f t="shared" si="14"/>
        <v>0</v>
      </c>
      <c r="AG19" s="835">
        <f t="shared" si="14"/>
        <v>0</v>
      </c>
      <c r="AH19" s="833">
        <f t="shared" si="14"/>
        <v>0</v>
      </c>
      <c r="AI19" s="823">
        <f t="shared" si="14"/>
        <v>2511</v>
      </c>
      <c r="AJ19" s="823">
        <f t="shared" si="14"/>
        <v>0</v>
      </c>
      <c r="AK19" s="833">
        <f t="shared" si="14"/>
        <v>0</v>
      </c>
      <c r="AL19" s="887">
        <f>IF(ISNUMBER(NºAsuntos!G19/NºAsuntos!E19),NºAsuntos!G19/NºAsuntos!E19," - ")</f>
        <v>0.81555491661874635</v>
      </c>
      <c r="AM19" s="888">
        <f>IF(ISNUMBER(((NºAsuntos!I19/NºAsuntos!G19)*11)/factor_trimestre),((NºAsuntos!I19/NºAsuntos!G19)*11)/factor_trimestre," - ")</f>
        <v>15.764792290968916</v>
      </c>
      <c r="AN19" s="888">
        <f>IF(ISNUMBER('Resol  Asuntos'!D19/NºAsuntos!G19),'Resol  Asuntos'!D19/NºAsuntos!G19," - ")</f>
        <v>0.14754098360655737</v>
      </c>
      <c r="AO19" s="889">
        <f>IF(ISNUMBER((NºAsuntos!C19+NºAsuntos!E19)/NºAsuntos!G19),(NºAsuntos!C19+NºAsuntos!E19)/NºAsuntos!G19," - ")</f>
        <v>2.4677125565544391</v>
      </c>
      <c r="AP19" s="890" t="str">
        <f t="shared" si="2"/>
        <v xml:space="preserve"> - </v>
      </c>
      <c r="AQ19" s="891">
        <f>IF(OR(ISNUMBER(FIND("01",Criterios!A8,1)),ISNUMBER(FIND("02",Criterios!A8,1)),ISNUMBER(FIND("03",Criterios!A8,1)),ISNUMBER(FIND("04",Criterios!A8,1))),(I19-W19+K19)/(F19-K19),(H19-W19+K19)/(F19-K19))</f>
        <v>-1.4860445912469034</v>
      </c>
      <c r="AR19" s="892">
        <f>IF(ISNUMBER((Datos!P19-Datos!Q19)/(Datos!R19-Datos!P19+Datos!Q19)),(Datos!P19-Datos!Q19)/(Datos!R19-Datos!P19+Datos!Q19)," - ")</f>
        <v>9.7483690587138863E-2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2852.8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3.6893239368631092</v>
      </c>
      <c r="F21" s="255">
        <f>IF(ISNUMBER(STDEV(F8:F18)),STDEV(F8:F18),"-")</f>
        <v>3176.0038308121316</v>
      </c>
      <c r="G21" s="256">
        <f>IF(ISNUMBER(STDEV(G8:G18)),STDEV(G8:G18),"-")</f>
        <v>3335.4410802770899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4335.2240657202483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626.8237391803217</v>
      </c>
      <c r="AJ21" s="255">
        <f t="shared" si="18"/>
        <v>0</v>
      </c>
      <c r="AK21" s="257">
        <f t="shared" si="18"/>
        <v>0</v>
      </c>
      <c r="AL21" s="252">
        <f t="shared" si="18"/>
        <v>0.12937909660881161</v>
      </c>
      <c r="AM21" s="253">
        <f t="shared" si="18"/>
        <v>9.2143418009254638</v>
      </c>
      <c r="AN21" s="253">
        <f t="shared" si="18"/>
        <v>0.17938760205708046</v>
      </c>
      <c r="AO21" s="254">
        <f t="shared" si="18"/>
        <v>0.83091839213536867</v>
      </c>
      <c r="AP21" s="294" t="str">
        <f t="shared" si="18"/>
        <v>-</v>
      </c>
      <c r="AQ21" s="295">
        <f t="shared" si="18"/>
        <v>0.75340321468978866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b340+KuHpmht6NSLcIhK8V8A84G+0Gs4wBVcqGdokAG50nbxbSUT/hnJSRWrunY5lWUDlXSkOS0fhd8iWOqSg==" saltValue="/+EjgShZSVhxU+pQwIfhS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ILLESCAS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7.3643410852713184E-2</v>
      </c>
      <c r="E10" s="351">
        <f>IF(ISNUMBER((Datos!J10-Datos!T10)/Datos!T10),(Datos!J10-Datos!T10)/Datos!T10," - ")</f>
        <v>0.16867469879518071</v>
      </c>
      <c r="F10" s="351">
        <f>IF(ISNUMBER((Datos!K10-Datos!U10)/Datos!U10),(Datos!K10-Datos!U10)/Datos!U10," - ")</f>
        <v>0</v>
      </c>
      <c r="G10" s="352">
        <f>IF(ISNUMBER((Datos!L10-Datos!V10)/Datos!V10),(Datos!L10-Datos!V10)/Datos!V10," - ")</f>
        <v>0.23104693140794225</v>
      </c>
      <c r="H10" s="233">
        <f>IF(ISNUMBER((Datos!M10-Datos!W10)/Datos!W10),(Datos!M10-Datos!W10)/Datos!W10," - ")</f>
        <v>0.25423728813559321</v>
      </c>
      <c r="I10" s="353">
        <f>IF(ISNUMBER((Tasas!C10-Datos!BE10)/Datos!BE10),(Tasas!C10-Datos!BE10)/Datos!BE10," - ")</f>
        <v>0.23104693140794225</v>
      </c>
      <c r="J10" s="352">
        <f>IF(ISNUMBER((Tasas!D10-Datos!BF10)/Datos!BF10),(Tasas!D10-Datos!BF10)/Datos!BF10," - ")</f>
        <v>0.25423728813559315</v>
      </c>
      <c r="K10" s="354">
        <f>IF(ISNUMBER((Tasas!E10-Datos!BG10)/Datos!BG10),(Tasas!E10-Datos!BG10)/Datos!BG10," - ")</f>
        <v>0.1108490566037736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9.2145015105740177E-2</v>
      </c>
      <c r="I12" s="353">
        <f>IF(ISNUMBER((Tasas!C12-Datos!BE12)/Datos!BE12),(Tasas!C12-Datos!BE12)/Datos!BE12," - ")</f>
        <v>0.1607449255534199</v>
      </c>
      <c r="J12" s="352">
        <f>IF(ISNUMBER((Tasas!D12-Datos!BF12)/Datos!BF12),(Tasas!D12-Datos!BF12)/Datos!BF12," - ")</f>
        <v>-0.51669137098566476</v>
      </c>
      <c r="K12" s="354">
        <f>IF(ISNUMBER((Tasas!E12-Datos!BG12)/Datos!BG12),(Tasas!E12-Datos!BG12)/Datos!BG12," - ")</f>
        <v>0.12037154790799359</v>
      </c>
      <c r="M12" t="e">
        <f>IF(Monitorios="SI",Datos!CE12,0)</f>
        <v>#REF!</v>
      </c>
      <c r="N12" t="e">
        <f>IF(Monitorios="SI",Datos!CF12,0)</f>
        <v>#REF!</v>
      </c>
      <c r="O12" t="e">
        <f>IF(Monitorios="SI",Datos!CG12,0)</f>
        <v>#REF!</v>
      </c>
      <c r="P12" t="e">
        <f>IF(Monitorios="SI",Datos!CH12,0)</f>
        <v>#REF!</v>
      </c>
      <c r="Q12">
        <f>IF(J_V="SI",0,Datos!AG12)</f>
        <v>337</v>
      </c>
      <c r="R12">
        <f>IF(J_V="SI",0,Datos!AH12)</f>
        <v>526</v>
      </c>
      <c r="S12">
        <f>IF(J_V="SI",0,Datos!AI12)</f>
        <v>502</v>
      </c>
      <c r="T12">
        <f>IF(J_V="SI",0,Datos!AJ12)</f>
        <v>361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9.9060014461315973E-2</v>
      </c>
      <c r="I13" s="360">
        <f>IF(ISNUMBER((Tasas!C13-Datos!BE13)/Datos!BE13),(Tasas!C13-Datos!BE13)/Datos!BE13," - ")</f>
        <v>0.16190044263046394</v>
      </c>
      <c r="J13" s="358">
        <f>IF(ISNUMBER((Tasas!D13-Datos!BF13)/Datos!BF13),(Tasas!D13-Datos!BF13)/Datos!BF13," - ")</f>
        <v>-0.50186536239439017</v>
      </c>
      <c r="K13" s="361">
        <f>IF(ISNUMBER((Tasas!E13-Datos!BG13)/Datos!BG13),(Tasas!E13-Datos!BG13)/Datos!BG13," - ")</f>
        <v>0.12006017589433225</v>
      </c>
      <c r="M13" t="e">
        <f>IF(Monitorios="SI",Datos!CE13,0)</f>
        <v>#REF!</v>
      </c>
      <c r="N13" t="e">
        <f>IF(Monitorios="SI",Datos!CF13,0)</f>
        <v>#REF!</v>
      </c>
      <c r="O13" t="e">
        <f>IF(Monitorios="SI",Datos!CG13,0)</f>
        <v>#REF!</v>
      </c>
      <c r="P13" t="e">
        <f>IF(Monitorios="SI",Datos!CH13,0)</f>
        <v>#REF!</v>
      </c>
      <c r="Q13">
        <f>IF(J_V="SI",0,Datos!AG13)</f>
        <v>337</v>
      </c>
      <c r="R13">
        <f>IF(J_V="SI",0,Datos!AH13)</f>
        <v>526</v>
      </c>
      <c r="S13">
        <f>IF(J_V="SI",0,Datos!AI13)</f>
        <v>502</v>
      </c>
      <c r="T13">
        <f>IF(J_V="SI",0,Datos!AJ13)</f>
        <v>361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0.18129218900675023</v>
      </c>
      <c r="E16" s="351">
        <f>IF(ISNUMBER(
   IF(D_I="SI",(Datos!J16-Datos!T16)/Datos!T16,(Datos!J16+Datos!AD16-(Datos!T16+Datos!AL16))/(Datos!T16+Datos!AL16))
     ),IF(D_I="SI",(Datos!J16-Datos!T16)/Datos!T16,(Datos!J16+Datos!AD16-(Datos!T16+Datos!AL16))/(Datos!T16+Datos!AL16))," - ")</f>
        <v>-2.3185239135712552E-2</v>
      </c>
      <c r="F16" s="351">
        <f>IF(ISNUMBER(
   IF(D_I="SI",(Datos!K16-Datos!U16)/Datos!U16,(Datos!K16+Datos!AE16-(Datos!U16+Datos!AM16))/(Datos!U16+Datos!AM16))
     ),IF(D_I="SI",(Datos!K16-Datos!U16)/Datos!U16,(Datos!K16+Datos!AE16-(Datos!U16+Datos!AM16))/(Datos!U16+Datos!AM16))," - ")</f>
        <v>0.18618894503138878</v>
      </c>
      <c r="G16" s="352">
        <f>IF(ISNUMBER(
   IF(D_I="SI",(Datos!L16-Datos!V16)/Datos!V16,(Datos!L16+Datos!AF16-(Datos!V16+Datos!AN16))/(Datos!V16+Datos!AN16))
     ),IF(D_I="SI",(Datos!L16-Datos!V16)/Datos!V16,(Datos!L16+Datos!AF16-(Datos!V16+Datos!AN16))/(Datos!V16+Datos!AN16))," - ")</f>
        <v>-7.6734693877551019E-3</v>
      </c>
      <c r="H16" s="233">
        <f>IF(ISNUMBER((Datos!M16-Datos!W16)/Datos!W16),(Datos!M16-Datos!W16)/Datos!W16," - ")</f>
        <v>0.23762376237623761</v>
      </c>
      <c r="I16" s="353">
        <f>IF(ISNUMBER((Tasas!C16-Datos!BE16)/Datos!BE16),(Tasas!C16-Datos!BE16)/Datos!BE16," - ")</f>
        <v>-0.16343299710487008</v>
      </c>
      <c r="J16" s="352">
        <f>IF(ISNUMBER((Tasas!D16-Datos!BF16)/Datos!BF16),(Tasas!D16-Datos!BF16)/Datos!BF16," - ")</f>
        <v>4.3361403392178713E-2</v>
      </c>
      <c r="K16" s="354">
        <f>IF(ISNUMBER((Tasas!E16-Datos!BG16)/Datos!BG16),(Tasas!E16-Datos!BG16)/Datos!BG16," - ")</f>
        <v>-0.10992279001935809</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0.12135176651305683</v>
      </c>
      <c r="E17" s="351">
        <f>IF(ISNUMBER(
   IF(D_I="SI",(Datos!J17-Datos!T17)/Datos!T17,(Datos!J17+Datos!AD17-(Datos!T17+Datos!AL17))/(Datos!T17+Datos!AL17))
     ),IF(D_I="SI",(Datos!J17-Datos!T17)/Datos!T17,(Datos!J17+Datos!AD17-(Datos!T17+Datos!AL17))/(Datos!T17+Datos!AL17))," - ")</f>
        <v>0.18312387791741472</v>
      </c>
      <c r="F17" s="351">
        <f>IF(ISNUMBER(
   IF(D_I="SI",(Datos!K17-Datos!U17)/Datos!U17,(Datos!K17+Datos!AE17-(Datos!U17+Datos!AM17))/(Datos!U17+Datos!AM17))
     ),IF(D_I="SI",(Datos!K17-Datos!U17)/Datos!U17,(Datos!K17+Datos!AE17-(Datos!U17+Datos!AM17))/(Datos!U17+Datos!AM17))," - ")</f>
        <v>8.2046332046332049E-2</v>
      </c>
      <c r="G17" s="352">
        <f>IF(ISNUMBER(
   IF(D_I="SI",(Datos!L17-Datos!V17)/Datos!V17,(Datos!L17+Datos!AF17-(Datos!V17+Datos!AN17))/(Datos!V17+Datos!AN17))
     ),IF(D_I="SI",(Datos!L17-Datos!V17)/Datos!V17,(Datos!L17+Datos!AF17-(Datos!V17+Datos!AN17))/(Datos!V17+Datos!AN17))," - ")</f>
        <v>0.26986301369863014</v>
      </c>
      <c r="H17" s="233">
        <f>IF(ISNUMBER((Datos!M17-Datos!W17)/Datos!W17),(Datos!M17-Datos!W17)/Datos!W17," - ")</f>
        <v>0.34883720930232559</v>
      </c>
      <c r="I17" s="353">
        <f>IF(ISNUMBER((Tasas!C17-Datos!BE17)/Datos!BE17),(Tasas!C17-Datos!BE17)/Datos!BE17," - ")</f>
        <v>0.17357545244583469</v>
      </c>
      <c r="J17" s="352">
        <f>IF(ISNUMBER((Tasas!D17-Datos!BF17)/Datos!BF17),(Tasas!D17-Datos!BF17)/Datos!BF17," - ")</f>
        <v>0.24656141733916975</v>
      </c>
      <c r="K17" s="354">
        <f>IF(ISNUMBER((Tasas!E17-Datos!BG17)/Datos!BG17),(Tasas!E17-Datos!BG17)/Datos!BG17," - ")</f>
        <v>7.2356985997427417E-2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0.17460589444825222</v>
      </c>
      <c r="E18" s="357">
        <f>IF(ISNUMBER(
   IF(D_I="SI",(Datos!J18-Datos!T18)/Datos!T18,(Datos!J18+Datos!AD18-(Datos!T18+Datos!AL18))/(Datos!T18+Datos!AL18))
     ),IF(D_I="SI",(Datos!J18-Datos!T18)/Datos!T18,(Datos!J18+Datos!AD18-(Datos!T18+Datos!AL18))/(Datos!T18+Datos!AL18))," - ")</f>
        <v>1.390076988879384E-3</v>
      </c>
      <c r="F18" s="357">
        <f>IF(ISNUMBER(
   IF(D_I="SI",(Datos!K18-Datos!U18)/Datos!U18,(Datos!K18+Datos!AE18-(Datos!U18+Datos!AM18))/(Datos!U18+Datos!AM18))
     ),IF(D_I="SI",(Datos!K18-Datos!U18)/Datos!U18,(Datos!K18+Datos!AE18-(Datos!U18+Datos!AM18))/(Datos!U18+Datos!AM18))," - ")</f>
        <v>0.17193075194925334</v>
      </c>
      <c r="G18" s="358">
        <f>IF(ISNUMBER(
   IF(D_I="SI",(Datos!L18-Datos!V18)/Datos!V18,(Datos!L18+Datos!AF18-(Datos!V18+Datos!AN18))/(Datos!V18+Datos!AN18))
     ),IF(D_I="SI",(Datos!L18-Datos!V18)/Datos!V18,(Datos!L18+Datos!AF18-(Datos!V18+Datos!AN18))/(Datos!V18+Datos!AN18))," - ")</f>
        <v>2.1881838074398249E-2</v>
      </c>
      <c r="H18" s="359">
        <f>IF(ISNUMBER((Datos!M18-Datos!W18)/Datos!W18),(Datos!M18-Datos!W18)/Datos!W18," - ")</f>
        <v>0.24968474148802017</v>
      </c>
      <c r="I18" s="360">
        <f>IF(ISNUMBER((Tasas!C18-Datos!BE18)/Datos!BE18),(Tasas!C18-Datos!BE18)/Datos!BE18," - ")</f>
        <v>-0.12803564854431987</v>
      </c>
      <c r="J18" s="358">
        <f>IF(ISNUMBER((Tasas!D18-Datos!BF18)/Datos!BF18),(Tasas!D18-Datos!BF18)/Datos!BF18," - ")</f>
        <v>6.6346914618837294E-2</v>
      </c>
      <c r="K18" s="361">
        <f>IF(ISNUMBER((Tasas!E18-Datos!BG18)/Datos!BG18),(Tasas!E18-Datos!BG18)/Datos!BG18," - ")</f>
        <v>-8.8727402601274832E-2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0.20460635083518613</v>
      </c>
      <c r="E19" s="366">
        <f>IF(ISNUMBER(
   IF(J_V="SI",(Datos!J19-Datos!T19)/Datos!T19,(Datos!J19+Datos!Z19-(Datos!T19+Datos!AH19))/(Datos!T19+Datos!AH19))
     ),IF(J_V="SI",(Datos!J19-Datos!T19)/Datos!T19,(Datos!J19+Datos!Z19-(Datos!T19+Datos!AH19))/(Datos!T19+Datos!AH19))," - ")</f>
        <v>6.4530939141968072E-2</v>
      </c>
      <c r="F19" s="366">
        <f>IF(ISNUMBER(
   IF(J_V="SI",(Datos!K19-Datos!U19)/Datos!U19,(Datos!K19+Datos!AA19-(Datos!U19+Datos!AI19))/(Datos!U19+Datos!AI19))
     ),IF(J_V="SI",(Datos!K19-Datos!U19)/Datos!U19,(Datos!K19+Datos!AA19-(Datos!U19+Datos!AI19))/(Datos!U19+Datos!AI19))," - ")</f>
        <v>0.10923548197875252</v>
      </c>
      <c r="G19" s="367">
        <f>IF(ISNUMBER(
   IF(J_V="SI",(Datos!L19-Datos!V19)/Datos!V19,(Datos!L19+Datos!AB19-(Datos!V19+Datos!AJ19))/(Datos!V19+Datos!AJ19))
     ),IF(J_V="SI",(Datos!L19-Datos!V19)/Datos!V19,(Datos!L19+Datos!AB19-(Datos!V19+Datos!AJ19))/(Datos!V19+Datos!AJ19))," - ")</f>
        <v>0.15433033601514434</v>
      </c>
      <c r="H19" s="368">
        <f>IF(ISNUMBER((Datos!M19-Datos!W19)/Datos!W19),(Datos!M19-Datos!W19)/Datos!W19," - ")</f>
        <v>0.15395220588235295</v>
      </c>
      <c r="I19" s="365">
        <f>IF(ISNUMBER((Tasas!C19-Datos!BE19)/Datos!BE19),(Tasas!C19-Datos!BE19)/Datos!BE19," - ")</f>
        <v>4.0653995268838339E-2</v>
      </c>
      <c r="J19" s="366">
        <f>IF(ISNUMBER((Tasas!D19-Datos!BF19)/Datos!BF19),(Tasas!D19-Datos!BF19)/Datos!BF19," - ")</f>
        <v>-0.38884413837056975</v>
      </c>
      <c r="K19" s="367">
        <f>IF(ISNUMBER((Tasas!E19-Datos!BG19)/Datos!BG19),(Tasas!E19-Datos!BG19)/Datos!BG19," - ")</f>
        <v>1.9333237002335839E-2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5.0440833869523118E-2</v>
      </c>
      <c r="E21" s="281">
        <f t="shared" si="1"/>
        <v>0.10847339596833064</v>
      </c>
      <c r="F21" s="281">
        <f t="shared" si="1"/>
        <v>8.6644049695002903E-2</v>
      </c>
      <c r="G21" s="282">
        <f t="shared" si="1"/>
        <v>0.14190338067878086</v>
      </c>
      <c r="H21" s="288">
        <f t="shared" si="1"/>
        <v>9.968998275940627E-2</v>
      </c>
      <c r="I21" s="280">
        <f t="shared" si="1"/>
        <v>0.17147116469303561</v>
      </c>
      <c r="J21" s="281">
        <f t="shared" si="1"/>
        <v>0.35293039241392937</v>
      </c>
      <c r="K21" s="282">
        <f t="shared" si="1"/>
        <v>0.10765296636199054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ZwDIQ1cverYitcsm18FUzcvJlwMDgRJWGXGOzy0N3yyvqRZQsz2wFmwv/tpLe4/BLxrnI+4PUjrVxefj6Nf9g==" saltValue="lFLuafyWcnOyRNRK9BYn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